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drawings/drawing1.xml" ContentType="application/vnd.openxmlformats-officedocument.drawing+xml"/>
  <Default Extension="bin" ContentType="application/vnd.openxmlformats-officedocument.spreadsheetml.printerSettings"/>
  <Override PartName="/xl/worksheets/sheet1.xml" ContentType="application/vnd.openxmlformats-officedocument.spreadsheetml.worksheet+xml"/>
  <Override PartName="/xl/comments2.xml" ContentType="application/vnd.openxmlformats-officedocument.spreadsheetml.comments+xml"/>
  <Default Extension="vml" ContentType="application/vnd.openxmlformats-officedocument.vmlDrawing"/>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C:\Users\RobertFung\Downloads\"/>
    </mc:Choice>
  </mc:AlternateContent>
  <bookViews>
    <workbookView xWindow="-120" yWindow="-120" windowWidth="29040" windowHeight="15840" activeTab="0"/>
  </bookViews>
  <sheets>
    <sheet name="Front Page" sheetId="7" r:id="rId3"/>
    <sheet name="Model" sheetId="1" r:id="rId4"/>
    <sheet name="Summary Page" sheetId="9" r:id="rId5"/>
    <sheet name="Update Log" sheetId="8" r:id="rId6"/>
  </sheets>
  <definedNames>
    <definedName name="AA.AlternatePriceSourceStartPeriod">"Q1-2018"</definedName>
    <definedName name="AA.CIK">"899051"</definedName>
    <definedName name="AA.CompareQuarters.LatestMRQ">"Q3-2019"</definedName>
    <definedName name="AA.CSIN">"GKCC7G0131"</definedName>
    <definedName name="AA.CurationVersion">"2023.11.1.0"</definedName>
    <definedName name="AA.DBMacroVersion">"1.0.11.0"</definedName>
    <definedName name="AA.HardcodeChecker.LatestMRQ">"Q3-2019"</definedName>
    <definedName name="AA.ModelChecks.LatestMRQ">"Q3-2021"</definedName>
    <definedName name="AA.ModelChecks.LatestVersionNumber">"2.38.12.0"</definedName>
    <definedName name="AA.ModelVersion">"Q3-2024.21"</definedName>
    <definedName name="AA.NonLibraryWideCurationVersion">"C"</definedName>
    <definedName name="AA.PartialUpdate.BsAvailable">"TRUE"</definedName>
    <definedName name="AA.PartialUpdate.CfsAvailable">"FALSE"</definedName>
    <definedName name="AA.PartialUpdate.IsAvailable">"TRUE"</definedName>
    <definedName name="AA.PeriodLayout">"QFY"</definedName>
    <definedName name="AA.PersonalMacro.VersionNumber">"1.5.0.3"</definedName>
    <definedName name="AA.RowNameEnforcerVersion">"2023.11.1.0"</definedName>
    <definedName name="AA.SessionToUploadId">""</definedName>
    <definedName name="AA.StartWorkModelVersion">"Q2-2024.20"</definedName>
    <definedName name="AA.StartWorkType">""</definedName>
    <definedName name="AA.SubyearType">"Q"</definedName>
    <definedName name="AA.TemplateUpgradeAttempted">"TRUE"</definedName>
    <definedName name="AA.TemplateVersion">"7.5.1.0"</definedName>
    <definedName name="AA.UpdateType">"Regular"</definedName>
    <definedName name="AA.VerifyUnitsAtModelVersion">"Q1-2018.27"</definedName>
    <definedName name="FP.DataSource">'Front Page'!$H$16</definedName>
    <definedName name="FP.DataSourceName">'Front Page'!$H$15</definedName>
    <definedName name="FP.Disclaimer">'Front Page'!$C$22</definedName>
    <definedName name="FP.LastPrice">'Front Page'!$H$20</definedName>
    <definedName name="FP.LastPriceDate">'Front Page'!$F$20</definedName>
    <definedName name="FP.RealTimeToggle">'Front Page'!$H$18</definedName>
    <definedName name="FP.UpdateDate">'Front Page'!$H$11</definedName>
    <definedName name="FP.UpdateEvent">'Front Page'!$H$13</definedName>
    <definedName name="FP_Comment">'Front Page'!$M$13:$P$20</definedName>
    <definedName name="FP_StockPriceOverride">'Front Page'!$C$20:$H$20</definedName>
    <definedName name="HP.MRFX">Model!$B$1145</definedName>
    <definedName name="HP.ReportCurrency">Model!$B$1144</definedName>
    <definedName name="HP.Ticker">Model!$A$2</definedName>
    <definedName name="HP.TradeCurrency">Model!$B$1142</definedName>
    <definedName name="HP.TradeCurrency.HardCoded">Model!$B$1143</definedName>
    <definedName name="MO.ApplyTradeCurrencyScaling">Model!$B$1141</definedName>
    <definedName name="MO.CFY">Model!$B$1149</definedName>
    <definedName name="MO.CompanyName">Model!$A$1</definedName>
    <definedName name="MO.DataSourceIndex">Model!$B$1152</definedName>
    <definedName name="MO.DataSourceName">Model!$A$4</definedName>
    <definedName name="MO.FirstForecastedFiscalYear">Model!$B$1150</definedName>
    <definedName name="MO.KPI.1">Model!$A$1040</definedName>
    <definedName name="MO.KPI.10">Model!$A$1049</definedName>
    <definedName name="MO.KPI.11">Model!$A$1050</definedName>
    <definedName name="MO.KPI.12">Model!$A$1051</definedName>
    <definedName name="MO.KPI.13">Model!$A$1052</definedName>
    <definedName name="MO.KPI.14">Model!$A$1053</definedName>
    <definedName name="MO.KPI.15">Model!$A$1054</definedName>
    <definedName name="MO.KPI.16">Model!$A$1055</definedName>
    <definedName name="MO.KPI.17">Model!$A$1056</definedName>
    <definedName name="MO.KPI.18">Model!$A$1057</definedName>
    <definedName name="MO.KPI.19">Model!$A$1058</definedName>
    <definedName name="MO.KPI.2">Model!$A$1041</definedName>
    <definedName name="MO.KPI.20">Model!$A$1059</definedName>
    <definedName name="MO.KPI.21">Model!$A$1060</definedName>
    <definedName name="MO.KPI.22">Model!$A$1061</definedName>
    <definedName name="MO.KPI.23">Model!$A$1062</definedName>
    <definedName name="MO.KPI.24">Model!$A$1063</definedName>
    <definedName name="MO.KPI.25">Model!$A$1064</definedName>
    <definedName name="MO.KPI.26">Model!$A$1065</definedName>
    <definedName name="MO.KPI.27">Model!$A$1066</definedName>
    <definedName name="MO.KPI.28">Model!$A$1067</definedName>
    <definedName name="MO.KPI.29">Model!$A$1068</definedName>
    <definedName name="MO.KPI.3">Model!$A$1042</definedName>
    <definedName name="MO.KPI.30">Model!$A$1069</definedName>
    <definedName name="MO.KPI.31">Model!$A$1070</definedName>
    <definedName name="MO.KPI.32">Model!$A$1071</definedName>
    <definedName name="MO.KPI.33">Model!$A$1072</definedName>
    <definedName name="MO.KPI.34">Model!$A$1073</definedName>
    <definedName name="MO.KPI.4">Model!$A$1043</definedName>
    <definedName name="MO.KPI.5">Model!$A$1044</definedName>
    <definedName name="MO.KPI.6">Model!$A$1045</definedName>
    <definedName name="MO.KPI.7">Model!$A$1046</definedName>
    <definedName name="MO.KPI.8">Model!$A$1047</definedName>
    <definedName name="MO.KPI.9">Model!$A$1048</definedName>
    <definedName name="MO.KPI.Count">Model!$B$1151</definedName>
    <definedName name="MO.LastPrice">Model!$B$3</definedName>
    <definedName name="MO.LastPriceDate">Model!$B$1138</definedName>
    <definedName name="MO.LastPriceFormula">Model!$B$1140</definedName>
    <definedName name="MO.LastPriceHardcoded">Model!$B$1137</definedName>
    <definedName name="MO.MRFP">Model!$B$1148</definedName>
    <definedName name="MO.MRFPColumnNumber">Model!$B$1147</definedName>
    <definedName name="MO.MRFX.Hardcoded">Model!$B$1146</definedName>
    <definedName name="MO.RealTime">Model!$B$4</definedName>
    <definedName name="MO.RealTimeStockPriceToggle">Model!$B$1139</definedName>
    <definedName name="MO.ReportCurrency">Model!$B$1144</definedName>
    <definedName name="MO.ReportFX">Model!$A$5</definedName>
    <definedName name="MO.Ticker">Model!$A$2</definedName>
    <definedName name="MO.Ticker.Bloomberg">Model!$A$1019</definedName>
    <definedName name="MO.Ticker.Canalyst">Model!$A$1018</definedName>
    <definedName name="MO.Ticker.CapIQ">Model!$A$1020</definedName>
    <definedName name="MO.Ticker.FactSet">Model!$A$1021</definedName>
    <definedName name="MO.Ticker.Thomson">Model!$A$1022</definedName>
    <definedName name="MO.TradingCurrency">Model!$A$3</definedName>
    <definedName name="MO.ValuationToggle">Model!$B$781</definedName>
    <definedName name="MO_AN_NI_NONGAAP_Diluted">Model!$669:$669</definedName>
    <definedName name="MO_BS_AR">Model!$951:$951</definedName>
    <definedName name="MO_BS_Cash">Model!$950:$950</definedName>
    <definedName name="MO_BS_CommonStock">Model!$978:$978</definedName>
    <definedName name="MO_BS_ContractCosts">Model!$952:$952</definedName>
    <definedName name="MO_BS_ContributedSurplus">Model!$979:$979</definedName>
    <definedName name="MO_BS_DefRev">Model!$967:$967</definedName>
    <definedName name="MO_BS_Goodwill">Model!$957:$957</definedName>
    <definedName name="MO_BS_NCI">Model!$985:$985</definedName>
    <definedName name="MO_BS_OCI">Model!$983:$983</definedName>
    <definedName name="MO_BS_PPE">Model!$956:$956</definedName>
    <definedName name="MO_BS_RetainedEarnings">Model!$980:$980</definedName>
    <definedName name="MO_BS_SE">Model!$984:$984</definedName>
    <definedName name="MO_BS_STInvestments">Model!$947:$947</definedName>
    <definedName name="MO_BS_TA">Model!$961:$961</definedName>
    <definedName name="MO_BS_TaxAssets_Deferred">Model!$955:$955</definedName>
    <definedName name="MO_BS_TaxLiabilities_Deferred">Model!$969:$969</definedName>
    <definedName name="MO_BS_TL">Model!$974:$974</definedName>
    <definedName name="MO_BS_TLSE">Model!$986:$986</definedName>
    <definedName name="MO_BS_TreasuryStock">Model!$982:$982</definedName>
    <definedName name="MO_BSS_BVPS">Model!$751:$751</definedName>
    <definedName name="MO_BSS_NLR">Model!$740:$740</definedName>
    <definedName name="MO_BSS_NTR">Model!$741:$741</definedName>
    <definedName name="MO_BSS_NUPR">Model!$739:$739</definedName>
    <definedName name="MO_BSS_ReserveRatio">Model!$743:$743</definedName>
    <definedName name="MO_BSS_ROA">Model!$755:$755</definedName>
    <definedName name="MO_BSS_ROE">Model!$756:$756</definedName>
    <definedName name="MO_BSS_ROTE">Model!$758:$758</definedName>
    <definedName name="MO_BSS_SolvencyRatio">Model!$744:$744</definedName>
    <definedName name="MO_BSS_TangibleCommonEquity">Model!$749:$749</definedName>
    <definedName name="MO_BSS_TBVPS">Model!$753:$753</definedName>
    <definedName name="MO_BSS_TotalCommonEquity">Model!$748:$748</definedName>
    <definedName name="MO_BSS_TotalEquity">Model!$746:$746</definedName>
    <definedName name="MO_CCFS_Balance_Begin">Model!$861:$861</definedName>
    <definedName name="MO_CCFS_Balance_End">Model!$862:$862</definedName>
    <definedName name="MO_CCFS_CFF">Model!$855:$855</definedName>
    <definedName name="MO_CCFS_CFI">Model!$839:$839</definedName>
    <definedName name="MO_CCFS_CFO">Model!$817:$817</definedName>
    <definedName name="MO_CCFS_CFO_BeforeWC">Model!$807:$807</definedName>
    <definedName name="MO_CCFS_FX">Model!$857:$857</definedName>
    <definedName name="MO_CCFS_NetChange">Model!$858:$858</definedName>
    <definedName name="MO_CCFS_Sup_CashInterest">Model!$864:$864</definedName>
    <definedName name="MO_CCFS_Sup_CashTax">Model!$865:$865</definedName>
    <definedName name="MO_CFS_Balance_Begin">Model!$933:$933</definedName>
    <definedName name="MO_CFS_Balance_End">Model!$934:$934</definedName>
    <definedName name="MO_CFS_Buyback">Model!$922:$922</definedName>
    <definedName name="MO_CFS_Capex">Model!$907:$907</definedName>
    <definedName name="MO_CFS_CFF">Model!$927:$927</definedName>
    <definedName name="MO_CFS_CFI">Model!$911:$911</definedName>
    <definedName name="MO_CFS_CFO">Model!$889:$889</definedName>
    <definedName name="MO_CFS_CFO_BeforeWC">Model!$879:$879</definedName>
    <definedName name="MO_CFS_DA">Model!$870:$870</definedName>
    <definedName name="MO_CFS_DeferredTax">Model!$875:$875</definedName>
    <definedName name="MO_CFS_Dividend_Common">Model!$920:$920</definedName>
    <definedName name="MO_CFS_Dividend_Prefs">Model!$921:$921</definedName>
    <definedName name="MO_CFS_FX">Model!$929:$929</definedName>
    <definedName name="MO_CFS_Impairment_Intangibles">Model!$878:$878</definedName>
    <definedName name="MO_CFS_NetChange">Model!$930:$930</definedName>
    <definedName name="MO_CFS_NI">Model!$869:$869</definedName>
    <definedName name="MO_CFS_Sup_CashInterest">Model!$936:$936</definedName>
    <definedName name="MO_CFS_Sup_CashTax">Model!$937:$937</definedName>
    <definedName name="MO_CFS_WC_DefRev">Model!$881:$881</definedName>
    <definedName name="MO_CFSUM_NetShares">Model!$770:$770</definedName>
    <definedName name="MO_CFSUM_NetShares_Price">Model!$771:$771</definedName>
    <definedName name="MO_Checks_Bottom">Model!$C$991:$XFD$1013</definedName>
    <definedName name="MO_Checks_BS">Model!$988:$988</definedName>
    <definedName name="MO_Checks_CF">Model!$939:$939</definedName>
    <definedName name="MO_Checks_IS">Model!$643:$643</definedName>
    <definedName name="MO_Common_Column_A">Model!$A:$A</definedName>
    <definedName name="MO_Common_Column_B">Model!$B:$B</definedName>
    <definedName name="MO_Common_ColumnHeader">Model!$5:$5</definedName>
    <definedName name="MO_Common_CompanySubtitle">Model!$2:$2</definedName>
    <definedName name="MO_Common_CompanyTitle">Model!$1:$1</definedName>
    <definedName name="MO_Common_FPDays">Model!$3:$3</definedName>
    <definedName name="MO_Common_QEndDate">Model!$4:$4</definedName>
    <definedName name="MO_Common_QEndDate_LWD">Model!$1131:$1131</definedName>
    <definedName name="MO_CR_Debt">Model!$763:$763</definedName>
    <definedName name="MO_CR_Debt_LT">Model!$762:$762</definedName>
    <definedName name="MO_CR_Debt_ST">Model!$761:$761</definedName>
    <definedName name="MO_CR_Debt_ToCapitalRatio">Model!$767:$767</definedName>
    <definedName name="MO_CR_IE">Model!$773:$773</definedName>
    <definedName name="MO_CR_InterestRate_Debt">Model!$774:$774</definedName>
    <definedName name="MO_CR_NetDebtIssuance">Model!$769:$769</definedName>
    <definedName name="MO_CR_NetShares">Model!$770:$770</definedName>
    <definedName name="MO_CR_NetShares_Price">Model!$771:$771</definedName>
    <definedName name="MO_CR_TotalCapitalization">Model!$765:$765</definedName>
    <definedName name="MO_CR_TotalCommonEquity">Model!$764:$764</definedName>
    <definedName name="MO_DS_Dividend">Model!$733:$733</definedName>
    <definedName name="MO_DS_DPS">Model!$734:$734</definedName>
    <definedName name="MO_DS_PayoutRatio">Model!$736:$736</definedName>
    <definedName name="MO_GA_NEPGrowth">Model!$19:$19</definedName>
    <definedName name="MO_GA_NWPGrowth">Model!$12:$12</definedName>
    <definedName name="MO_GA_TotalRevenue">Model!$27:$27</definedName>
    <definedName name="MO_GA_UIGrowth">Model!$20:$20</definedName>
    <definedName name="MO_II_EndInvestments">Model!$360:$360</definedName>
    <definedName name="MO_II_InvestmentBalance">Model!$361:$361</definedName>
    <definedName name="MO_II_NetIG">Model!$368:$368</definedName>
    <definedName name="MO_II_NetII">Model!$366:$366</definedName>
    <definedName name="MO_II_NetIIYield">Model!$364:$364</definedName>
    <definedName name="MO_IS_Amortization">Model!$628:$628</definedName>
    <definedName name="MO_IS_DebtExtinguishment">Model!$629:$629</definedName>
    <definedName name="MO_IS_DisCont">Model!$636:$636</definedName>
    <definedName name="MO_IS_Dividend_Prefs">Model!$640:$640</definedName>
    <definedName name="MO_IS_EBT">Model!$633:$633</definedName>
    <definedName name="MO_IS_FirstRow">Model!$609:$609</definedName>
    <definedName name="MO_IS_IE">Model!$630:$630</definedName>
    <definedName name="MO_IS_Impairment_Goodwill">Model!$627:$627</definedName>
    <definedName name="MO_IS_NCI">Model!$638:$638</definedName>
    <definedName name="MO_IS_NI_ContinOp">Model!$635:$635</definedName>
    <definedName name="MO_IS_Restructuring">Model!$626:$626</definedName>
    <definedName name="MO_IS_REV">Model!$618:$618</definedName>
    <definedName name="MO_IS_Tax">Model!$634:$634</definedName>
    <definedName name="MO_KPI_ChangeInNLR">Model!$349:$349</definedName>
    <definedName name="MO_KPI_ChangeInNUPR">Model!$340:$340</definedName>
    <definedName name="MO_KPI_CombinedRatio">Model!$178:$178</definedName>
    <definedName name="MO_KPI_EmployeeCount">Model!$432:$432</definedName>
    <definedName name="MO_KPI_GLR">Model!$343:$343</definedName>
    <definedName name="MO_KPI_InvestmentBalance">Model!$361:$361</definedName>
    <definedName name="MO_KPI_Loss">Model!$95:$95</definedName>
    <definedName name="MO_KPI_Loss_exCATS">Model!$96:$96</definedName>
    <definedName name="MO_KPI_LossIncurred">Model!$347:$347</definedName>
    <definedName name="MO_KPI_LossPaid">Model!$348:$348</definedName>
    <definedName name="MO_KPI_LossRatio">Model!$162:$162</definedName>
    <definedName name="MO_KPI_NEP">Model!$65:$65</definedName>
    <definedName name="MO_KPI_NetIG">Model!$368:$368</definedName>
    <definedName name="MO_KPI_NetII">Model!$366:$366</definedName>
    <definedName name="MO_KPI_NetIIYield">Model!$364:$364</definedName>
    <definedName name="MO_KPI_NLR">Model!$345:$345</definedName>
    <definedName name="MO_KPI_NUPR">Model!$338:$338</definedName>
    <definedName name="MO_KPI_NWP">Model!$47:$47</definedName>
    <definedName name="MO_KPI_OOE">Model!$105:$105</definedName>
    <definedName name="MO_KPI_OOERatio">Model!$170:$170</definedName>
    <definedName name="MO_KPI_RR">Model!$344:$344</definedName>
    <definedName name="MO_KPI_UI">Model!$124:$124</definedName>
    <definedName name="MO_KPI_UnderwritingExpense">Model!$114:$114</definedName>
    <definedName name="MO_KPI_WPERatio">Model!$134:$134</definedName>
    <definedName name="MO_LR_ChangeInNLR">Model!$349:$349</definedName>
    <definedName name="MO_LR_GLR">Model!$343:$343</definedName>
    <definedName name="MO_LR_LossIncurred">Model!$347:$347</definedName>
    <definedName name="MO_LR_LossPaid">Model!$348:$348</definedName>
    <definedName name="MO_LR_LossPayoutRatio">Model!$351:$351</definedName>
    <definedName name="MO_LR_NLR">Model!$345:$345</definedName>
    <definedName name="MO_LR_RR">Model!$344:$344</definedName>
    <definedName name="MO_OS_EmployeeCount">Model!$432:$432</definedName>
    <definedName name="MO_RIS_Adjustments_Dilution_GAAP">Model!$695:$695</definedName>
    <definedName name="MO_RIS_Adjustments_Dilution_NONGAAP">Model!$698:$698</definedName>
    <definedName name="MO_RIS_Adjustments_NONGAAP">Model!$697:$697</definedName>
    <definedName name="MO_RIS_DisCont">Model!$691:$691</definedName>
    <definedName name="MO_RIS_Dividend_Prefs">Model!$693:$693</definedName>
    <definedName name="MO_RIS_EBT">Model!$684:$684</definedName>
    <definedName name="MO_RIS_EI">Model!$690:$690</definedName>
    <definedName name="MO_RIS_EPS_WAB">Model!$704:$704</definedName>
    <definedName name="MO_RIS_EPS_WAD">Model!$705:$705</definedName>
    <definedName name="MO_RIS_EPS_WAD_Adj">Model!$706:$706</definedName>
    <definedName name="MO_RIS_IE">Model!$681:$681</definedName>
    <definedName name="MO_RIS_Loss">Model!$679:$679</definedName>
    <definedName name="MO_RIS_NCI">Model!$692:$692</definedName>
    <definedName name="MO_RIS_NEP">Model!$672:$672</definedName>
    <definedName name="MO_RIS_NetIG">Model!$674:$674</definedName>
    <definedName name="MO_RIS_NetII">Model!$673:$673</definedName>
    <definedName name="MO_RIS_NI_ContinOp">Model!$689:$689</definedName>
    <definedName name="MO_RIS_NI_GAAP_Basic">Model!$694:$694</definedName>
    <definedName name="MO_RIS_NI_GAAP_Diluted">Model!$696:$696</definedName>
    <definedName name="MO_RIS_NI_NONGAAP_Diluted">Model!$699:$699</definedName>
    <definedName name="MO_RIS_OI">Model!$682:$682</definedName>
    <definedName name="MO_RIS_OOE">Model!$680:$680</definedName>
    <definedName name="MO_RIS_OtherIncome">Model!$675:$675</definedName>
    <definedName name="MO_RIS_OTI">Model!$683:$683</definedName>
    <definedName name="MO_RIS_REV">Model!$676:$676</definedName>
    <definedName name="MO_RIS_ShareCount_EoPB">Model!$714:$714</definedName>
    <definedName name="MO_RIS_ShareCount_WAB">Model!$709:$709</definedName>
    <definedName name="MO_RIS_ShareCount_WAD">Model!$710:$710</definedName>
    <definedName name="MO_RIS_ShareCount_WAD_Adj">Model!$711:$711</definedName>
    <definedName name="MO_RIS_Tax_Current">Model!$687:$687</definedName>
    <definedName name="MO_RIS_Tax_Deferred">Model!$688:$688</definedName>
    <definedName name="MO_RIS_TaxRate_Current">Model!$701:$701</definedName>
    <definedName name="MO_RIS_TaxRate_Deferred">Model!$702:$702</definedName>
    <definedName name="MO_SCA_Date_CoverPage">Model!$725:$725</definedName>
    <definedName name="MO_SCA_Ratio_DilutedOverBasic">Model!$728:$728</definedName>
    <definedName name="MO_SCA_ShareCount_CoverPage">Model!$724:$724</definedName>
    <definedName name="MO_SCA_ShareCount_CoverPage_Class1">Model!$724:$724</definedName>
    <definedName name="MO_SCA_ShareCount_CoverPage_Ticker1">Model!$724:$724</definedName>
    <definedName name="MO_SCA_ShareCount_DilutiveShares">Model!$727:$727</definedName>
    <definedName name="MO_SCA_ShareCount_EoP">Model!$714:$714</definedName>
    <definedName name="MO_SCA_ShareCount_EoP_Class1">Model!$714:$714</definedName>
    <definedName name="MO_SCA_ShareCount_EoP_Diluted">Model!$730:$730</definedName>
    <definedName name="MO_SCA_ShareCount_EoP_Economic">Model!$716:$716</definedName>
    <definedName name="MO_SCA_ShareCount_EoP_Growth_Dilutive_QoQ">Model!$717:$717</definedName>
    <definedName name="MO_SCA_ShareCount_EoP_Growth_Dilutive_YoY">Model!$718:$718</definedName>
    <definedName name="MO_SCA_ShareCount_EoP_Growth_NetIssuance_QoQ">Model!$719:$719</definedName>
    <definedName name="MO_SCA_ShareCount_EoP_Growth_NetIssuance_YoY">Model!$720:$720</definedName>
    <definedName name="MO_SCA_ShareCount_EoP_Growth_QoQ">Model!$721:$721</definedName>
    <definedName name="MO_SCA_ShareCount_EoP_Growth_YoY">Model!$722:$722</definedName>
    <definedName name="MO_SCA_ShareCount_EoP_Ticker1">Model!$714:$714</definedName>
    <definedName name="MO_Section_AdjustedNumbers">Model!$645:$645</definedName>
    <definedName name="MO_Section_BalanceSheet">Model!$941:$941</definedName>
    <definedName name="MO_Section_BalanceSheetSummary">Model!$738:$738</definedName>
    <definedName name="MO_Section_CapitalResources">Model!$760:$760</definedName>
    <definedName name="MO_Section_CashFlowStatement">Model!$867:$867</definedName>
    <definedName name="MO_Section_ContractholderFundsInvestmentsAllstateAnnuitiesFS">Model!$588:$588</definedName>
    <definedName name="MO_Section_ContractholderFundsInvestmentsAllstateBenefitsFS">Model!$288:$288</definedName>
    <definedName name="MO_Section_ContractholderFundsInvestmentsAllstateLifeFS">Model!$554:$554</definedName>
    <definedName name="MO_Section_CumulativeCashFlowStatement">Model!$795:$795</definedName>
    <definedName name="MO_Section_DataHistorical">Model!$434:$434</definedName>
    <definedName name="MO_Section_DividendSummary">Model!$732:$732</definedName>
    <definedName name="MO_Section_GrowthAnalysis">Model!$6:$6</definedName>
    <definedName name="MO_Section_II">Model!$353:$353</definedName>
    <definedName name="MO_Section_IncomeStatement">Model!$608:$608</definedName>
    <definedName name="MO_Section_InvestmentIncomeCorporateOtherFS">Model!$328:$328</definedName>
    <definedName name="MO_Section_InvestmentIncomePropertyLiabilityFS">Model!$216:$216</definedName>
    <definedName name="MO_Section_InvestmentIncomeProtectionServicesFS">Model!$260:$260</definedName>
    <definedName name="MO_Section_KeyMetricsEmployeesFS">Model!$429:$429</definedName>
    <definedName name="MO_Section_KeyMetricsPoliciesinForceSupplemental">Model!$394:$394</definedName>
    <definedName name="MO_Section_KeyMetricsPremiumsWrittenforAllstateProtectionandServiceBusinessesSupplemental">Model!$370:$370</definedName>
    <definedName name="MO_Section_LastRow">Model!$1154:$1154</definedName>
    <definedName name="MO_Section_LR">Model!$342:$342</definedName>
    <definedName name="MO_Section_ModelChecks">Model!$990:$990</definedName>
    <definedName name="MO_Section_RevisedIncomeStatement">Model!$671:$671</definedName>
    <definedName name="MO_Section_SegmentedResultsAllstateAnnuitiesSupplemental">Model!$573:$573</definedName>
    <definedName name="MO_Section_SegmentedResultsAllstateBenefitsSupplemental">Model!$269:$269</definedName>
    <definedName name="MO_Section_SegmentedResultsAllstateLifeSupplemental">Model!$533:$533</definedName>
    <definedName name="MO_Section_SegmentedResultsCorporateOtherSupplemental">Model!$307:$307</definedName>
    <definedName name="MO_Section_SegmentedResultsPropertyLiabilitySupplemental">Model!$181:$181</definedName>
    <definedName name="MO_Section_SegmentedResultsProtectionServicesFS">Model!$225:$225</definedName>
    <definedName name="MO_Section_SegmentedResultsRevenueBreakdownFSSupplemental">Model!$29:$29</definedName>
    <definedName name="MO_Section_ShareCountAnalysis">Model!$713:$713</definedName>
    <definedName name="MO_Section_SIC">Model!$776:$776</definedName>
    <definedName name="MO_Section_SubsegmentedResultsAllstateBrandSupplemental">Model!$435:$435</definedName>
    <definedName name="MO_Section_SubsegmentedResultsEncompassBrandSupplemental">Model!$504:$504</definedName>
    <definedName name="MO_Section_SubsegmentedResultsEsuranceBrandSupplemental">Model!$475:$475</definedName>
    <definedName name="MO_Section_Tables">Model!$1015:$1015</definedName>
    <definedName name="MO_Section_UI">Model!$39:$39</definedName>
    <definedName name="MO_Section_UPR">Model!$337:$337</definedName>
    <definedName name="MO_Section_UR">Model!$127:$127</definedName>
    <definedName name="MO_Section_Valuation">Model!$780:$780</definedName>
    <definedName name="MO_SIC_StatutoryCapital">Model!$778:$778</definedName>
    <definedName name="MO_SIC_StatutoryIncome">Model!$777:$777</definedName>
    <definedName name="MO_SNA_ConsensusEstimatePeriodNumber">Model!$1089:$1089</definedName>
    <definedName name="MO_SNA_ConsensusEstimatePeriodType">Model!$1088:$1088</definedName>
    <definedName name="MO_SNA_FPStartDate">Model!$1101:$1101</definedName>
    <definedName name="MO_SNA_Guidance_ApplicablePeriod_FY">Model!$1084:$1084</definedName>
    <definedName name="MO_SNA_Guidance_ApplicablePeriod_Q">Model!$1078:$1078</definedName>
    <definedName name="MO_SNA_Guidance_IsLatest_FY">Model!$1083:$1083</definedName>
    <definedName name="MO_SNA_Guidance_ReportDate_FY">Model!$1082:$1082</definedName>
    <definedName name="MO_SNA_Guidance_ReportDate_Q">Model!$1077:$1077</definedName>
    <definedName name="MO_SNA_IsHistoricalPeriod">Model!$1102:$1102</definedName>
    <definedName name="MO_SNA_LastDataRow">Model!$986:$986</definedName>
    <definedName name="MO_SPT_FXAverage">Model!$1124:$1124</definedName>
    <definedName name="MO_SPT_FXAverage_Sources">Model!$1125:$1129</definedName>
    <definedName name="MO_SPT_FXAverage_Sources_Bloomberg">Model!$1126:$1126</definedName>
    <definedName name="MO_SPT_FXAverage_Sources_CapIQ">Model!$1127:$1127</definedName>
    <definedName name="MO_SPT_FXAverage_Sources_FactSet">Model!$1128:$1128</definedName>
    <definedName name="MO_SPT_FXAverage_Sources_RealTimeOff">Model!$1125:$1125</definedName>
    <definedName name="MO_SPT_FXAverage_Sources_Thomson">Model!$1129:$1129</definedName>
    <definedName name="MO_SPT_FXEoP">Model!$1133:$1133</definedName>
    <definedName name="MO_SPT_StockAverage">Model!$1117:$1117</definedName>
    <definedName name="MO_SPT_StockAverage_Sources">Model!$1118:$1122</definedName>
    <definedName name="MO_SPT_StockAverage_Sources_Bloomberg">Model!$1119:$1119</definedName>
    <definedName name="MO_SPT_StockAverage_Sources_CapIQ">Model!$1120:$1120</definedName>
    <definedName name="MO_SPT_StockAverage_Sources_FactSet">Model!$1121:$1121</definedName>
    <definedName name="MO_SPT_StockAverage_Sources_RealTimeOff">Model!$1118:$1118</definedName>
    <definedName name="MO_SPT_StockAverage_Sources_Thomson">Model!$1122:$1122</definedName>
    <definedName name="MO_SPT_StockEoP">Model!$1132:$1132</definedName>
    <definedName name="MO_SPT_StockHigh">Model!$1103:$1103</definedName>
    <definedName name="MO_SPT_StockHigh_Sources">Model!$1104:$1108</definedName>
    <definedName name="MO_SPT_StockHigh_Sources_Bloomberg">Model!$1105:$1105</definedName>
    <definedName name="MO_SPT_StockHigh_Sources_CapIQ">Model!$1106:$1106</definedName>
    <definedName name="MO_SPT_StockHigh_Sources_FactSet">Model!$1107:$1107</definedName>
    <definedName name="MO_SPT_StockHigh_Sources_RealTimeOff">Model!$1104:$1104</definedName>
    <definedName name="MO_SPT_StockHigh_Sources_Thomson">Model!$1108:$1108</definedName>
    <definedName name="MO_SPT_StockLow">Model!$1110:$1110</definedName>
    <definedName name="MO_SPT_StockLow_Sources">Model!$1111:$1115</definedName>
    <definedName name="MO_SPT_StockLow_Sources_Bloomberg">Model!$1112:$1112</definedName>
    <definedName name="MO_SPT_StockLow_Sources_CapIQ">Model!$1113:$1113</definedName>
    <definedName name="MO_SPT_StockLow_Sources_FactSet">Model!$1114:$1114</definedName>
    <definedName name="MO_SPT_StockLow_Sources_RealTimeOff">Model!$1111:$1111</definedName>
    <definedName name="MO_SPT_StockLow_Sources_Thomson">Model!$1115:$1115</definedName>
    <definedName name="MO_SubSection_BS_SE">Model!$976:$976</definedName>
    <definedName name="MO_SubSection_BS_TA">Model!$942:$942</definedName>
    <definedName name="MO_SubSection_BS_TL">Model!$963:$963</definedName>
    <definedName name="MO_SubSection_CCFS_CFF">Model!$841:$841</definedName>
    <definedName name="MO_SubSection_CCFS_CFI">Model!$819:$819</definedName>
    <definedName name="MO_SubSection_CCFS_CFO">Model!$796:$796</definedName>
    <definedName name="MO_SubSection_CFS_CFF">Model!$913:$913</definedName>
    <definedName name="MO_SubSection_CFS_CFI">Model!$891:$891</definedName>
    <definedName name="MO_SubSection_CFS_CFO">Model!$868:$868</definedName>
    <definedName name="MO_UI_Loss">Model!$95:$95</definedName>
    <definedName name="MO_UI_Loss_exCATS">Model!$96:$96</definedName>
    <definedName name="MO_UI_NCP">Model!$56:$56</definedName>
    <definedName name="MO_UI_NEP">Model!$65:$65</definedName>
    <definedName name="MO_UI_NWP">Model!$47:$47</definedName>
    <definedName name="MO_UI_OOE">Model!$105:$105</definedName>
    <definedName name="MO_UI_UI">Model!$124:$124</definedName>
    <definedName name="MO_UI_UnderwritingExpense">Model!$114:$114</definedName>
    <definedName name="MO_UPR_ChangeInNUPR">Model!$340:$340</definedName>
    <definedName name="MO_UPR_NUPR">Model!$338:$338</definedName>
    <definedName name="MO_UR_CombinedRatio">Model!$178:$178</definedName>
    <definedName name="MO_UR_LossRatio">Model!$162:$162</definedName>
    <definedName name="MO_UR_OOERatio">Model!$170:$170</definedName>
    <definedName name="MO_UR_WPERatio">Model!$134:$134</definedName>
    <definedName name="MO_VA_FX_Average">Model!$791:$791</definedName>
    <definedName name="MO_VA_FX_EoP">Model!$792:$792</definedName>
    <definedName name="MO_VA_MarketCap">Model!$782:$782</definedName>
    <definedName name="MO_VA_P_ToB">Model!$785:$785</definedName>
    <definedName name="MO_VA_P_ToE">Model!$784:$784</definedName>
    <definedName name="MO_VA_StockPrice">Model!$781:$781</definedName>
    <definedName name="MO_VA_StockPrice_Avg">Model!$789:$789</definedName>
    <definedName name="MO_VA_StockPrice_EoP">Model!$790:$790</definedName>
    <definedName name="MO_VA_StockPrice_High">Model!$787:$787</definedName>
    <definedName name="MO_VA_StockPrice_Low">Model!$788:$788</definedName>
    <definedName name="MO_VA_StockPrice_TradingCurrency">Model!$793:$793</definedName>
    <definedName name="_xlnm.Print_Area" localSheetId="1">Model!$A$1:$BR$986</definedName>
    <definedName name="_xlnm.Print_Area" localSheetId="2">'Summary Page'!$A$1:$BR$84</definedName>
    <definedName name="_xlnm.Print_Titles" localSheetId="1">Model!$5:$5</definedName>
    <definedName name="SP.CompanyName">'Summary Page'!$A$1</definedName>
    <definedName name="SP.ReportFX">'Summary Page'!$B$2</definedName>
    <definedName name="SP.ValuationToggle">'Summary Page'!$B$4</definedName>
    <definedName name="SP_BSS_BVPS">'Summary Page'!$79:$79</definedName>
    <definedName name="SP_BSS_NLR">'Summary Page'!$76:$76</definedName>
    <definedName name="SP_BSS_NTR">'Summary Page'!$77:$77</definedName>
    <definedName name="SP_BSS_NUPR">'Summary Page'!$75:$75</definedName>
    <definedName name="SP_BSS_TBVPS">'Summary Page'!$80:$80</definedName>
    <definedName name="SP_Checks_SummaryPage">'Summary Page'!$C$87:$XFD$88</definedName>
    <definedName name="SP_Common_Column_A">'Summary Page'!$A:$A</definedName>
    <definedName name="SP_Common_Column_B">'Summary Page'!$B:$B</definedName>
    <definedName name="SP_Common_ColumnHeader">'Summary Page'!$2:$2</definedName>
    <definedName name="SP_Common_QEndDate">'Summary Page'!$1:$1</definedName>
    <definedName name="SP_CS_MarketCap">'Summary Page'!$6:$6</definedName>
    <definedName name="SP_CS_ShareCount_EoP_Diluted">'Summary Page'!$5:$5</definedName>
    <definedName name="SP_CS_StockPrice">'Summary Page'!$4:$4</definedName>
    <definedName name="SP_DS_DPS">'Summary Page'!$66:$66</definedName>
    <definedName name="SP_DS_PayoutRatio">'Summary Page'!$67:$67</definedName>
    <definedName name="SP_GF_DisCont">'Summary Page'!$54:$54</definedName>
    <definedName name="SP_GF_Div_Prefs">'Summary Page'!$56:$56</definedName>
    <definedName name="SP_GF_EBT">'Summary Page'!$51:$51</definedName>
    <definedName name="SP_GF_EI">'Summary Page'!$53:$53</definedName>
    <definedName name="SP_GF_EPS_WAD">'Summary Page'!$58:$58</definedName>
    <definedName name="SP_GF_IE">'Summary Page'!$48:$48</definedName>
    <definedName name="SP_GF_Loss">'Summary Page'!$46:$46</definedName>
    <definedName name="SP_GF_NCI">'Summary Page'!$55:$55</definedName>
    <definedName name="SP_GF_NEP">'Summary Page'!$41:$41</definedName>
    <definedName name="SP_GF_NetIG">'Summary Page'!$43:$43</definedName>
    <definedName name="SP_GF_NetII">'Summary Page'!$42:$42</definedName>
    <definedName name="SP_GF_NI">'Summary Page'!$57:$57</definedName>
    <definedName name="SP_GF_OI">'Summary Page'!$49:$49</definedName>
    <definedName name="SP_GF_OOE">'Summary Page'!$47:$47</definedName>
    <definedName name="SP_GF_OtherIncome">'Summary Page'!$44:$44</definedName>
    <definedName name="SP_GF_OTI">'Summary Page'!$50:$50</definedName>
    <definedName name="SP_GF_Rev">'Summary Page'!$45:$45</definedName>
    <definedName name="SP_GF_ShareCount">'Summary Page'!$59:$59</definedName>
    <definedName name="SP_GF_Tax">'Summary Page'!$52:$52</definedName>
    <definedName name="SP_II_InvestmentBalance">'Summary Page'!$34:$34</definedName>
    <definedName name="SP_II_NetIG">'Summary Page'!$38:$38</definedName>
    <definedName name="SP_II_NetII">'Summary Page'!$36:$36</definedName>
    <definedName name="SP_NGF_EPS">'Summary Page'!$63:$63</definedName>
    <definedName name="SP_NGF_NI">'Summary Page'!$62:$62</definedName>
    <definedName name="SP_PR_ROA">'Summary Page'!$70:$70</definedName>
    <definedName name="SP_PR_ROE">'Summary Page'!$71:$71</definedName>
    <definedName name="SP_PR_ROTE">'Summary Page'!$72:$72</definedName>
    <definedName name="SP_Section_BalanceSheetSummary">'Summary Page'!$74:$74</definedName>
    <definedName name="SP_Section_CapitalizationSummary">'Summary Page'!$3:$3</definedName>
    <definedName name="SP_Section_Checks">'Summary Page'!$86:$86</definedName>
    <definedName name="SP_Section_DividendSummary">'Summary Page'!$65:$65</definedName>
    <definedName name="SP_Section_GAAPFinancials">'Summary Page'!$40:$40</definedName>
    <definedName name="SP_Section_II">'Summary Page'!$33:$33</definedName>
    <definedName name="SP_Section_LastRow">'Summary Page'!$90:$90</definedName>
    <definedName name="SP_Section_NonGAAPFinancials">'Summary Page'!$61:$61</definedName>
    <definedName name="SP_Section_ProfitabilityRatios">'Summary Page'!$69:$69</definedName>
    <definedName name="SP_Section_UI">'Summary Page'!$18:$18</definedName>
    <definedName name="SP_Section_UR">'Summary Page'!$28:$28</definedName>
    <definedName name="SP_Section_ValuationMetrics">'Summary Page'!$82:$82</definedName>
    <definedName name="SP_UI_Loss">'Summary Page'!$22:$22</definedName>
    <definedName name="SP_UI_NEP">'Summary Page'!$20:$20</definedName>
    <definedName name="SP_UI_NWP">'Summary Page'!$19:$19</definedName>
    <definedName name="SP_UI_OOE">'Summary Page'!$23:$23</definedName>
    <definedName name="SP_UI_UI">'Summary Page'!$26:$26</definedName>
    <definedName name="SP_UI_UnderwritingExpense">'Summary Page'!$24:$24</definedName>
    <definedName name="SP_UR_CombinedRatio">'Summary Page'!$31:$31</definedName>
    <definedName name="SP_UR_LossRatio">'Summary Page'!$29:$29</definedName>
    <definedName name="SP_UR_OOERatio">'Summary Page'!$30:$30</definedName>
    <definedName name="SP_VM_P_ToB">'Summary Page'!$84:$84</definedName>
    <definedName name="SP_VM_P_ToE">'Summary Page'!$83:$83</definedName>
    <definedName name="tb_ConsensusEstimate">Model!$A$1087:$BR$1098</definedName>
    <definedName name="tb_EntireModel">Model!$A$1:$BR$988</definedName>
    <definedName name="tb_Guidance_FY">Model!$A$1081:$BR$1085</definedName>
    <definedName name="tb_Guidance_Q">Model!$A$1076:$BR$1079</definedName>
    <definedName name="tb_KeyOutputs">Model!$A$1030:$A$1037</definedName>
    <definedName name="tb_KPIs">Model!$A$1039:$A$1074</definedName>
    <definedName name="tb_StockPrice">Model!$A$1100:$BR$1130</definedName>
    <definedName name="tb_Tickers">Model!$A$1017:$A$1022</definedName>
    <definedName name="tb_UpdateLog">'Update Log'!$C$10:$H$49</definedName>
    <definedName name="tb_ValuationToggle">Model!$A$1024:$B$1028</definedName>
    <definedName name="UL.CSIN">'Update Log'!$H$7</definedName>
    <definedName name="UL.ModelVersion">'Update Log'!$H$8</definedName>
    <definedName name="UL.MRQ">'Update Log'!$F$7</definedName>
    <definedName name="UL.MRQColNum">'Update Log'!$E$7</definedName>
    <definedName name="WS.CanalystName" localSheetId="0">"Front Page"</definedName>
    <definedName name="WS.CanalystName" localSheetId="1">"Model"</definedName>
    <definedName name="WS.CanalystName" localSheetId="2">"Summary Page"</definedName>
    <definedName name="WS.CanalystName" localSheetId="3">"Update Log"</definedName>
    <definedName name="z_GKCC7G0131_MO_AN_Adjustednetincome">Model!$669:$669</definedName>
    <definedName name="z_GKCC7G0131_MO_AN_Amortizationofpurchasedintangibleassets">Model!$659:$659</definedName>
    <definedName name="z_GKCC7G0131_MO_AN_Businesscombinationexpensesandtheamortizationofpurchasedintangibles">Model!$657:$657</definedName>
    <definedName name="z_GKCC7G0131_MO_AN_Businesscombinationfairvalueadjustment">Model!$658:$658</definedName>
    <definedName name="z_GKCC7G0131_MO_AN_Changeinaccountingforinvestmentsinqualifiedaffordablehousingprojects">Model!$664:$664</definedName>
    <definedName name="z_GKCC7G0131_MO_AN_Curtailmentgain">Model!$651:$651</definedName>
    <definedName name="z_GKCC7G0131_MO_AN_DACandDSIamortizationratingtorealizedcapitalgainsandlossesandvaluationchangesonembeddedderivativesnothedged">Model!$653:$653</definedName>
    <definedName name="z_GKCC7G0131_MO_AN_DACandDSIunlockingrelatingtorealizedcapitalgainsandlosses">Model!$654:$654</definedName>
    <definedName name="z_GKCC7G0131_MO_AN_deferredincometaxes">Model!$646:$646</definedName>
    <definedName name="z_GKCC7G0131_MO_AN_Gainondispositionofoperations">Model!$661:$661</definedName>
    <definedName name="z_GKCC7G0131_MO_AN_Impairmentofpurchasedintangibles">Model!$660:$660</definedName>
    <definedName name="z_GKCC7G0131_MO_AN_Incomelossfromdiscontinuedoperations">Model!$666:$666</definedName>
    <definedName name="z_GKCC7G0131_MO_AN_Incometaxexpensebenefit">Model!$668:$668</definedName>
    <definedName name="z_GKCC7G0131_MO_AN_Lossextinguishmentofdebt">Model!$662:$662</definedName>
    <definedName name="z_GKCC7G0131_MO_AN_Netincomeapplicabletocommonshareholders">Model!$648:$648</definedName>
    <definedName name="z_GKCC7G0131_MO_AN_Nonrecurringcosts">Model!$667:$667</definedName>
    <definedName name="z_GKCC7G0131_MO_AN_Pensionandotherpostretirementremeasurementgainsandlosses">Model!$650:$650</definedName>
    <definedName name="z_GKCC7G0131_MO_AN_Postretirementbenefitscurtailmentgain">Model!$663:$663</definedName>
    <definedName name="z_GKCC7G0131_MO_AN_Premiumdeficiencyforimmediateannuities">Model!$655:$655</definedName>
    <definedName name="z_GKCC7G0131_MO_AN_Realizedcapitalgainsandlosses">Model!$649:$649</definedName>
    <definedName name="z_GKCC7G0131_MO_AN_Reclassificationofperiodicsettlementsandaccrualsonnonhedgederivativeinstruments">Model!$656:$656</definedName>
    <definedName name="z_GKCC7G0131_MO_AN_Taxlegislationbenefit">Model!$665:$665</definedName>
    <definedName name="z_GKCC7G0131_MO_AN_Valuationchangesonembeddedderivativesnothedged">Model!$652:$652</definedName>
    <definedName name="z_GKCC7G0131_MO_BlankRow_AN">Model!$670:$670</definedName>
    <definedName name="z_GKCC7G0131_MO_BlankRow_AN_1">Model!$647:$647</definedName>
    <definedName name="z_GKCC7G0131_MO_BlankRow_BS_5">Model!$962:$962</definedName>
    <definedName name="z_GKCC7G0131_MO_BlankRow_BS_6">Model!$975:$975</definedName>
    <definedName name="z_GKCC7G0131_MO_BlankRow_BS_7">Model!$987:$987</definedName>
    <definedName name="z_GKCC7G0131_MO_BlankRow_BS_8">Model!$989:$989</definedName>
    <definedName name="z_GKCC7G0131_MO_BlankRow_BSS">Model!$742:$742</definedName>
    <definedName name="z_GKCC7G0131_MO_BlankRow_BSS_1">Model!$745:$745</definedName>
    <definedName name="z_GKCC7G0131_MO_BlankRow_BSS_2">Model!$750:$750</definedName>
    <definedName name="z_GKCC7G0131_MO_BlankRow_BSS_3">Model!$754:$754</definedName>
    <definedName name="z_GKCC7G0131_MO_BlankRow_BSS_4">Model!$759:$759</definedName>
    <definedName name="z_GKCC7G0131_MO_BlankRow_CCFS">Model!$818:$818</definedName>
    <definedName name="z_GKCC7G0131_MO_BlankRow_CCFS_1">Model!$840:$840</definedName>
    <definedName name="z_GKCC7G0131_MO_BlankRow_CCFS_2">Model!$856:$856</definedName>
    <definedName name="z_GKCC7G0131_MO_BlankRow_CCFS_3">Model!$860:$860</definedName>
    <definedName name="z_GKCC7G0131_MO_BlankRow_CCFS_4">Model!$866:$866</definedName>
    <definedName name="z_GKCC7G0131_MO_BlankRow_CCFS_5">Model!$863:$863</definedName>
    <definedName name="z_GKCC7G0131_MO_BlankRow_CFS">Model!$890:$890</definedName>
    <definedName name="z_GKCC7G0131_MO_BlankRow_CFS_1">Model!$912:$912</definedName>
    <definedName name="z_GKCC7G0131_MO_BlankRow_CFS_2">Model!$928:$928</definedName>
    <definedName name="z_GKCC7G0131_MO_BlankRow_CFS_3">Model!$932:$932</definedName>
    <definedName name="z_GKCC7G0131_MO_BlankRow_CFS_4">Model!$938:$938</definedName>
    <definedName name="z_GKCC7G0131_MO_BlankRow_CFS_5">Model!$940:$940</definedName>
    <definedName name="z_GKCC7G0131_MO_BlankRow_CFS_6">Model!$935:$935</definedName>
    <definedName name="z_GKCC7G0131_MO_BlankRow_DS">Model!$735:$735</definedName>
    <definedName name="z_GKCC7G0131_MO_BlankRow_DS_1">Model!$737:$737</definedName>
    <definedName name="z_GKCC7G0131_MO_BlankRow_GA">Model!$21:$21</definedName>
    <definedName name="z_GKCC7G0131_MO_BlankRow_GA_1">Model!$28:$28</definedName>
    <definedName name="z_GKCC7G0131_MO_BlankRow_GA_2">Model!$13:$13</definedName>
    <definedName name="z_GKCC7G0131_MO_BlankRow_IS">Model!$642:$642</definedName>
    <definedName name="z_GKCC7G0131_MO_BlankRow_IS_1">Model!$644:$644</definedName>
    <definedName name="z_GKCC7G0131_MO_BlankRow_MA">Model!$783:$783</definedName>
    <definedName name="z_GKCC7G0131_MO_BlankRow_MA_1">Model!$794:$794</definedName>
    <definedName name="z_GKCC7G0131_MO_BlankRow_MA_2">Model!$786:$786</definedName>
    <definedName name="z_GKCC7G0131_MO_BlankRow_OS">Model!$57:$57</definedName>
    <definedName name="z_GKCC7G0131_MO_BlankRow_OS_1">Model!$67:$67</definedName>
    <definedName name="z_GKCC7G0131_MO_BlankRow_OS_10">Model!$341:$341</definedName>
    <definedName name="z_GKCC7G0131_MO_BlankRow_OS_11">Model!$346:$346</definedName>
    <definedName name="z_GKCC7G0131_MO_BlankRow_OS_12">Model!$350:$350</definedName>
    <definedName name="z_GKCC7G0131_MO_BlankRow_OS_13">Model!$352:$352</definedName>
    <definedName name="z_GKCC7G0131_MO_BlankRow_OS_14">Model!$363:$363</definedName>
    <definedName name="z_GKCC7G0131_MO_BlankRow_OS_15">Model!$365:$365</definedName>
    <definedName name="z_GKCC7G0131_MO_BlankRow_OS_16">Model!$367:$367</definedName>
    <definedName name="z_GKCC7G0131_MO_BlankRow_OS_17">Model!$180:$180</definedName>
    <definedName name="z_GKCC7G0131_MO_BlankRow_OS_18">Model!$779:$779</definedName>
    <definedName name="z_GKCC7G0131_MO_BlankRow_OS_19">Model!$48:$48</definedName>
    <definedName name="z_GKCC7G0131_MO_BlankRow_OS_2">Model!$115:$115</definedName>
    <definedName name="z_GKCC7G0131_MO_BlankRow_OS_27">Model!$163:$163</definedName>
    <definedName name="z_GKCC7G0131_MO_BlankRow_OS_29">Model!$171:$171</definedName>
    <definedName name="z_GKCC7G0131_MO_BlankRow_OS_3">Model!$126:$126</definedName>
    <definedName name="z_GKCC7G0131_MO_BlankRow_OS_31">Model!$207:$207</definedName>
    <definedName name="z_GKCC7G0131_MO_BlankRow_OS_34">Model!$38:$38</definedName>
    <definedName name="z_GKCC7G0131_MO_BlankRow_OS_35">Model!$229:$229</definedName>
    <definedName name="z_GKCC7G0131_MO_BlankRow_OS_37">Model!$106:$106</definedName>
    <definedName name="z_GKCC7G0131_MO_BlankRow_OS_38">Model!$283:$283</definedName>
    <definedName name="z_GKCC7G0131_MO_BlankRow_OS_39">Model!$215:$215</definedName>
    <definedName name="z_GKCC7G0131_MO_BlankRow_OS_4">Model!$135:$135</definedName>
    <definedName name="z_GKCC7G0131_MO_BlankRow_OS_40">Model!$222:$222</definedName>
    <definedName name="z_GKCC7G0131_MO_BlankRow_OS_41">Model!$606:$606</definedName>
    <definedName name="z_GKCC7G0131_MO_BlankRow_OS_42">Model!$224:$224</definedName>
    <definedName name="z_GKCC7G0131_MO_BlankRow_OS_43">Model!$428:$428</definedName>
    <definedName name="z_GKCC7G0131_MO_BlankRow_OS_44">Model!$466:$466</definedName>
    <definedName name="z_GKCC7G0131_MO_BlankRow_OS_45">Model!$474:$474</definedName>
    <definedName name="z_GKCC7G0131_MO_BlankRow_OS_46">Model!$494:$494</definedName>
    <definedName name="z_GKCC7G0131_MO_BlankRow_OS_47">Model!$503:$503</definedName>
    <definedName name="z_GKCC7G0131_MO_BlankRow_OS_48">Model!$525:$525</definedName>
    <definedName name="z_GKCC7G0131_MO_BlankRow_OS_49">Model!$532:$532</definedName>
    <definedName name="z_GKCC7G0131_MO_BlankRow_OS_51">Model!$251:$251</definedName>
    <definedName name="z_GKCC7G0131_MO_BlankRow_OS_52">Model!$254:$254</definedName>
    <definedName name="z_GKCC7G0131_MO_BlankRow_OS_53">Model!$259:$259</definedName>
    <definedName name="z_GKCC7G0131_MO_BlankRow_OS_54">Model!$266:$266</definedName>
    <definedName name="z_GKCC7G0131_MO_BlankRow_OS_55">Model!$268:$268</definedName>
    <definedName name="z_GKCC7G0131_MO_BlankRow_OS_56">Model!$548:$548</definedName>
    <definedName name="z_GKCC7G0131_MO_BlankRow_OS_57">Model!$550:$550</definedName>
    <definedName name="z_GKCC7G0131_MO_BlankRow_OS_58">Model!$553:$553</definedName>
    <definedName name="z_GKCC7G0131_MO_BlankRow_OS_59">Model!$560:$560</definedName>
    <definedName name="z_GKCC7G0131_MO_BlankRow_OS_60">Model!$564:$564</definedName>
    <definedName name="z_GKCC7G0131_MO_BlankRow_OS_61">Model!$570:$570</definedName>
    <definedName name="z_GKCC7G0131_MO_BlankRow_OS_62">Model!$572:$572</definedName>
    <definedName name="z_GKCC7G0131_MO_BlankRow_OS_63">Model!$287:$287</definedName>
    <definedName name="z_GKCC7G0131_MO_BlankRow_OS_64">Model!$294:$294</definedName>
    <definedName name="z_GKCC7G0131_MO_BlankRow_OS_65">Model!$298:$298</definedName>
    <definedName name="z_GKCC7G0131_MO_BlankRow_OS_66">Model!$304:$304</definedName>
    <definedName name="z_GKCC7G0131_MO_BlankRow_OS_67">Model!$306:$306</definedName>
    <definedName name="z_GKCC7G0131_MO_BlankRow_OS_68">Model!$587:$587</definedName>
    <definedName name="z_GKCC7G0131_MO_BlankRow_OS_69">Model!$594:$594</definedName>
    <definedName name="z_GKCC7G0131_MO_BlankRow_OS_70">Model!$596:$596</definedName>
    <definedName name="z_GKCC7G0131_MO_BlankRow_OS_71">Model!$599:$599</definedName>
    <definedName name="z_GKCC7G0131_MO_BlankRow_OS_72">Model!$605:$605</definedName>
    <definedName name="z_GKCC7G0131_MO_BlankRow_OS_73">Model!$607:$607</definedName>
    <definedName name="z_GKCC7G0131_MO_BlankRow_OS_74">Model!$327:$327</definedName>
    <definedName name="z_GKCC7G0131_MO_BlankRow_OS_75">Model!$334:$334</definedName>
    <definedName name="z_GKCC7G0131_MO_BlankRow_OS_76">Model!$336:$336</definedName>
    <definedName name="z_GKCC7G0131_MO_BlankRow_OS_77">Model!$766:$766</definedName>
    <definedName name="z_GKCC7G0131_MO_BlankRow_OS_78">Model!$768:$768</definedName>
    <definedName name="z_GKCC7G0131_MO_BlankRow_OS_79">Model!$369:$369</definedName>
    <definedName name="z_GKCC7G0131_MO_BlankRow_OS_80">Model!$393:$393</definedName>
    <definedName name="z_GKCC7G0131_MO_BlankRow_OS_81">Model!$772:$772</definedName>
    <definedName name="z_GKCC7G0131_MO_BlankRow_OS_82">Model!$775:$775</definedName>
    <definedName name="z_GKCC7G0131_MO_BlankRow_OS_83">Model!$97:$97</definedName>
    <definedName name="z_GKCC7G0131_MO_BlankRow_OS_84">Model!$723:$723</definedName>
    <definedName name="z_GKCC7G0131_MO_BlankRow_OS_85">Model!$731:$731</definedName>
    <definedName name="z_GKCC7G0131_MO_BlankRow_OS_86">Model!$433:$433</definedName>
    <definedName name="z_GKCC7G0131_MO_BlankRow_OS_87">Model!$726:$726</definedName>
    <definedName name="z_GKCC7G0131_MO_BlankRow_OS_88">Model!$729:$729</definedName>
    <definedName name="z_GKCC7G0131_MO_BlankRow_OS_9">Model!$339:$339</definedName>
    <definedName name="z_GKCC7G0131_MO_BlankRow_RIS">Model!$678:$678</definedName>
    <definedName name="z_GKCC7G0131_MO_BlankRow_RIS_1">Model!$686:$686</definedName>
    <definedName name="z_GKCC7G0131_MO_BlankRow_RIS_2">Model!$700:$700</definedName>
    <definedName name="z_GKCC7G0131_MO_BlankRow_RIS_3">Model!$703:$703</definedName>
    <definedName name="z_GKCC7G0131_MO_BlankRow_RIS_4">Model!$708:$708</definedName>
    <definedName name="z_GKCC7G0131_MO_BlankRow_RIS_5">Model!$712:$712</definedName>
    <definedName name="z_GKCC7G0131_MO_BlankRow_SNA">Model!$1014:$1014</definedName>
    <definedName name="z_GKCC7G0131_MO_BlankRow_SNA_1">Model!$1016:$1016</definedName>
    <definedName name="z_GKCC7G0131_MO_BlankRow_SNA_10">Model!$1123:$1123</definedName>
    <definedName name="z_GKCC7G0131_MO_BlankRow_SNA_11">Model!$1130:$1130</definedName>
    <definedName name="z_GKCC7G0131_MO_BlankRow_SNA_12">Model!$1135:$1135</definedName>
    <definedName name="z_GKCC7G0131_MO_BlankRow_SNA_13">Model!$1153:$1153</definedName>
    <definedName name="z_GKCC7G0131_MO_BlankRow_SNA_14">Model!$1134:$1134</definedName>
    <definedName name="z_GKCC7G0131_MO_BlankRow_SNA_15">Model!$1074:$1074</definedName>
    <definedName name="z_GKCC7G0131_MO_BlankRow_SNA_16">Model!$1075:$1075</definedName>
    <definedName name="z_GKCC7G0131_MO_BlankRow_SNA_17">Model!$1079:$1079</definedName>
    <definedName name="z_GKCC7G0131_MO_BlankRow_SNA_18">Model!$1080:$1080</definedName>
    <definedName name="z_GKCC7G0131_MO_BlankRow_SNA_19">Model!$1085:$1085</definedName>
    <definedName name="z_GKCC7G0131_MO_BlankRow_SNA_2">Model!$1023:$1023</definedName>
    <definedName name="z_GKCC7G0131_MO_BlankRow_SNA_20">Model!$1086:$1086</definedName>
    <definedName name="z_GKCC7G0131_MO_BlankRow_SNA_3">Model!$1029:$1029</definedName>
    <definedName name="z_GKCC7G0131_MO_BlankRow_SNA_4">Model!$1037:$1037</definedName>
    <definedName name="z_GKCC7G0131_MO_BlankRow_SNA_5">Model!$1038:$1038</definedName>
    <definedName name="z_GKCC7G0131_MO_BlankRow_SNA_6">Model!$1098:$1098</definedName>
    <definedName name="z_GKCC7G0131_MO_BlankRow_SNA_7">Model!$1099:$1099</definedName>
    <definedName name="z_GKCC7G0131_MO_BlankRow_SNA_8">Model!$1109:$1109</definedName>
    <definedName name="z_GKCC7G0131_MO_BlankRow_SNA_9">Model!$1116:$1116</definedName>
    <definedName name="z_GKCC7G0131_MO_BS_accruedinvestmentincome">Model!$954:$954</definedName>
    <definedName name="z_GKCC7G0131_MO_BS_additionalcapitalpaidin">Model!$979:$979</definedName>
    <definedName name="z_GKCC7G0131_MO_BS_Assets">Model!$942:$942</definedName>
    <definedName name="z_GKCC7G0131_MO_BS_assetsheldforsale">Model!$960:$960</definedName>
    <definedName name="z_GKCC7G0131_MO_BS_BSCheck">Model!$988:$988</definedName>
    <definedName name="z_GKCC7G0131_MO_BS_cash">Model!$950:$950</definedName>
    <definedName name="z_GKCC7G0131_MO_BS_claimpaymentsoutstanding">Model!$968:$968</definedName>
    <definedName name="z_GKCC7G0131_MO_BS_commonstock01parvalue20billionsharesauthorizedand900millionissued">Model!$978:$978</definedName>
    <definedName name="z_GKCC7G0131_MO_BS_contractholderfunds">Model!$966:$966</definedName>
    <definedName name="z_GKCC7G0131_MO_BS_deferredesopexpense">Model!$981:$981</definedName>
    <definedName name="z_GKCC7G0131_MO_BS_deferredincometaxes">Model!$955:$955</definedName>
    <definedName name="z_GKCC7G0131_MO_BS_deferredincometaxes_1">Model!$969:$969</definedName>
    <definedName name="z_GKCC7G0131_MO_BS_Deferredpolicyacquisitioncosts">Model!$952:$952</definedName>
    <definedName name="z_GKCC7G0131_MO_BS_Equitysecurities">Model!$944:$944</definedName>
    <definedName name="z_GKCC7G0131_MO_BS_fixedincomesecurities">Model!$943:$943</definedName>
    <definedName name="z_GKCC7G0131_MO_BS_goodwill">Model!$957:$957</definedName>
    <definedName name="z_GKCC7G0131_MO_BS_Liabilities">Model!$963:$963</definedName>
    <definedName name="z_GKCC7G0131_MO_BS_liabilitiesheldforsale">Model!$973:$973</definedName>
    <definedName name="z_GKCC7G0131_MO_BS_limitedpartnershipinterests">Model!$946:$946</definedName>
    <definedName name="z_GKCC7G0131_MO_BS_Longtermdebt">Model!$971:$971</definedName>
    <definedName name="z_GKCC7G0131_MO_BS_mortgageloans">Model!$945:$945</definedName>
    <definedName name="z_GKCC7G0131_MO_BS_NCI">Model!$985:$985</definedName>
    <definedName name="z_GKCC7G0131_MO_BS_Other">Model!$948:$948</definedName>
    <definedName name="z_GKCC7G0131_MO_BS_Otherassets">Model!$958:$958</definedName>
    <definedName name="z_GKCC7G0131_MO_BS_Otherliabilitiesandaccruedexpenses">Model!$970:$970</definedName>
    <definedName name="z_GKCC7G0131_MO_BS_preferredstockandadditionalcapitalpaidin1parvalue25millionsharesauthorized722thousandsharesissuedandoutstandingand1">Model!$977:$977</definedName>
    <definedName name="z_GKCC7G0131_MO_BS_premiuminstallmentreceivables">Model!$951:$951</definedName>
    <definedName name="z_GKCC7G0131_MO_BS_propertyandequipment">Model!$956:$956</definedName>
    <definedName name="z_GKCC7G0131_MO_BS_reinsurancerecoverables">Model!$953:$953</definedName>
    <definedName name="z_GKCC7G0131_MO_BS_reserveforlifecontingentcontractbenefits">Model!$965:$965</definedName>
    <definedName name="z_GKCC7G0131_MO_BS_reserveforpropertyliabilityinsuranceclaimsandclaimsexpense">Model!$964:$964</definedName>
    <definedName name="z_GKCC7G0131_MO_BS_retainedincome">Model!$980:$980</definedName>
    <definedName name="z_GKCC7G0131_MO_BS_separateaccounts">Model!$959:$959</definedName>
    <definedName name="z_GKCC7G0131_MO_BS_separateaccounts_1">Model!$972:$972</definedName>
    <definedName name="z_GKCC7G0131_MO_BS_ShareholdersEquity">Model!$976:$976</definedName>
    <definedName name="z_GKCC7G0131_MO_BS_shortterm">Model!$947:$947</definedName>
    <definedName name="z_GKCC7G0131_MO_BS_Totalaccumulatedothercomprehensiveloss">Model!$983:$983</definedName>
    <definedName name="z_GKCC7G0131_MO_BS_TotalAssets">Model!$961:$961</definedName>
    <definedName name="z_GKCC7G0131_MO_BS_totalinvestments">Model!$949:$949</definedName>
    <definedName name="z_GKCC7G0131_MO_BS_TotalLiabilities">Model!$974:$974</definedName>
    <definedName name="z_GKCC7G0131_MO_BS_TotalLiabilitiesSE">Model!$986:$986</definedName>
    <definedName name="z_GKCC7G0131_MO_BS_TotalSE">Model!$984:$984</definedName>
    <definedName name="z_GKCC7G0131_MO_BS_treasurystock">Model!$982:$982</definedName>
    <definedName name="z_GKCC7G0131_MO_BS_unearnedpremiums">Model!$967:$967</definedName>
    <definedName name="z_GKCC7G0131_MO_BSS_BookValueperCommonShare">Model!$751:$751</definedName>
    <definedName name="z_GKCC7G0131_MO_BSS_consensusestimatesbookvaluepercommonshare">Model!$752:$752</definedName>
    <definedName name="z_GKCC7G0131_MO_BSS_ConsensusEstimatesReturnonAverageCommonEquity">Model!$757:$757</definedName>
    <definedName name="z_GKCC7G0131_MO_BSS_NetLossReserves">Model!$740:$740</definedName>
    <definedName name="z_GKCC7G0131_MO_BSS_NetTechnicalReserves">Model!$741:$741</definedName>
    <definedName name="z_GKCC7G0131_MO_BSS_NetUnearnedPremiumReserves">Model!$739:$739</definedName>
    <definedName name="z_GKCC7G0131_MO_BSS_preferredstock">Model!$747:$747</definedName>
    <definedName name="z_GKCC7G0131_MO_BSS_ReserveRatio">Model!$743:$743</definedName>
    <definedName name="z_GKCC7G0131_MO_BSS_ReturnonAverageCommonEquity">Model!$756:$756</definedName>
    <definedName name="z_GKCC7G0131_MO_BSS_ReturnonAverageTangibleCommonEquity">Model!$758:$758</definedName>
    <definedName name="z_GKCC7G0131_MO_BSS_ReturnonAverageTotalAssets">Model!$755:$755</definedName>
    <definedName name="z_GKCC7G0131_MO_BSS_SolvencyRatio">Model!$744:$744</definedName>
    <definedName name="z_GKCC7G0131_MO_BSS_statutorycapital">Model!$778:$778</definedName>
    <definedName name="z_GKCC7G0131_MO_BSS_statutoryincome">Model!$777:$777</definedName>
    <definedName name="z_GKCC7G0131_MO_BSS_TangibleBookValueperCommonShare">Model!$753:$753</definedName>
    <definedName name="z_GKCC7G0131_MO_BSS_TotalCommonShareholdersEquity">Model!$748:$748</definedName>
    <definedName name="z_GKCC7G0131_MO_BSS_TotalEquity">Model!$746:$746</definedName>
    <definedName name="z_GKCC7G0131_MO_BSS_TotalTangibleCommonEquity">Model!$749:$749</definedName>
    <definedName name="z_GKCC7G0131_MO_CCFS_Acquisitionofoperations">Model!$838:$838</definedName>
    <definedName name="z_GKCC7G0131_MO_CCFS_BeginningCashBalance">Model!$861:$861</definedName>
    <definedName name="z_GKCC7G0131_MO_CCFS_Cashclassifiedasassetsheldforsaleatendofperiod">Model!$859:$859</definedName>
    <definedName name="z_GKCC7G0131_MO_CCFS_cashclassifiedasheldforsale">Model!$854:$854</definedName>
    <definedName name="z_GKCC7G0131_MO_CCFS_Cashpaidoninterest">Model!$864:$864</definedName>
    <definedName name="z_GKCC7G0131_MO_CCFS_Cashpaidrefundedontaxes">Model!$865:$865</definedName>
    <definedName name="z_GKCC7G0131_MO_CCFS_CFF">Model!$841:$841</definedName>
    <definedName name="z_GKCC7G0131_MO_CCFS_CFI">Model!$819:$819</definedName>
    <definedName name="z_GKCC7G0131_MO_CCFS_CFO">Model!$796:$796</definedName>
    <definedName name="z_GKCC7G0131_MO_CCFS_CFObeforeWC">Model!$807:$807</definedName>
    <definedName name="z_GKCC7G0131_MO_CCFS_Changeinotherinvestments">Model!$834:$834</definedName>
    <definedName name="z_GKCC7G0131_MO_CCFS_changeinshortterminvestments">Model!$833:$833</definedName>
    <definedName name="z_GKCC7G0131_MO_CCFS_collectionsoffixedincomesecurities">Model!$825:$825</definedName>
    <definedName name="z_GKCC7G0131_MO_CCFS_collectionsofmortgageloans">Model!$823:$823</definedName>
    <definedName name="z_GKCC7G0131_MO_CCFS_collectionsofmortgageloans_1">Model!$826:$826</definedName>
    <definedName name="z_GKCC7G0131_MO_CCFS_CollectionsofOtherinvestments">Model!$824:$824</definedName>
    <definedName name="z_GKCC7G0131_MO_CCFS_CollectionsofOtherinvestments_1">Model!$827:$827</definedName>
    <definedName name="z_GKCC7G0131_MO_CCFS_contractholderfunddeposits">Model!$846:$846</definedName>
    <definedName name="z_GKCC7G0131_MO_CCFS_contractholderfundwithdrawals">Model!$847:$847</definedName>
    <definedName name="z_GKCC7G0131_MO_CCFS_deferredincometaxes">Model!$803:$803</definedName>
    <definedName name="z_GKCC7G0131_MO_CCFS_Deferredpolicyacquisitioncosts">Model!$810:$810</definedName>
    <definedName name="z_GKCC7G0131_MO_CCFS_depreciation">Model!$798:$798</definedName>
    <definedName name="z_GKCC7G0131_MO_CCFS_Dividendspaidoncommonstock">Model!$848:$848</definedName>
    <definedName name="z_GKCC7G0131_MO_CCFS_Dividendspaidonpreferredstock">Model!$849:$849</definedName>
    <definedName name="z_GKCC7G0131_MO_CCFS_EndingCashBalance">Model!$862:$862</definedName>
    <definedName name="z_GKCC7G0131_MO_CCFS_excesstaxbenefitsonsharebasedpaymentarrangements">Model!$852:$852</definedName>
    <definedName name="z_GKCC7G0131_MO_CCFS_FX">Model!$857:$857</definedName>
    <definedName name="z_GKCC7G0131_MO_CCFS_gainondispositionofoperations">Model!$802:$802</definedName>
    <definedName name="z_GKCC7G0131_MO_CCFS_GoodwillImpairment">Model!$806:$806</definedName>
    <definedName name="z_GKCC7G0131_MO_CCFS_incometaxes">Model!$813:$813</definedName>
    <definedName name="z_GKCC7G0131_MO_CCFS_incometaxes_1">Model!$816:$816</definedName>
    <definedName name="z_GKCC7G0131_MO_CCFS_interestcreditedtocontractholderfunds">Model!$804:$804</definedName>
    <definedName name="z_GKCC7G0131_MO_CCFS_Lossofdispositionofoperations">Model!$805:$805</definedName>
    <definedName name="z_GKCC7G0131_MO_CCFS_Lossonextinguishmentofdebt">Model!$801:$801</definedName>
    <definedName name="z_GKCC7G0131_MO_CCFS_lossreserves">Model!$815:$815</definedName>
    <definedName name="z_GKCC7G0131_MO_CCFS_NetCFF">Model!$855:$855</definedName>
    <definedName name="z_GKCC7G0131_MO_CCFS_NetCFI">Model!$839:$839</definedName>
    <definedName name="z_GKCC7G0131_MO_CCFS_NetCFO">Model!$817:$817</definedName>
    <definedName name="z_GKCC7G0131_MO_CCFS_NetChangeinCashBalance">Model!$858:$858</definedName>
    <definedName name="z_GKCC7G0131_MO_CCFS_netincome">Model!$797:$797</definedName>
    <definedName name="z_GKCC7G0131_MO_CCFS_Other">Model!$853:$853</definedName>
    <definedName name="z_GKCC7G0131_MO_CCFS_Otheroperatingassetsandliabilities">Model!$814:$814</definedName>
    <definedName name="z_GKCC7G0131_MO_CCFS_Pensionandotherpostretirementremeasurementgainsandlosses">Model!$800:$800</definedName>
    <definedName name="z_GKCC7G0131_MO_CCFS_Policybenefitsandotherinsurancereserves">Model!$808:$808</definedName>
    <definedName name="z_GKCC7G0131_MO_CCFS_premiuminstallmentreceivables">Model!$811:$811</definedName>
    <definedName name="z_GKCC7G0131_MO_CCFS_Proceedsfromdispositionofoperations">Model!$837:$837</definedName>
    <definedName name="z_GKCC7G0131_MO_CCFS_Proceedsfromissuanceoflongtermdebt">Model!$842:$842</definedName>
    <definedName name="z_GKCC7G0131_MO_CCFS_proceedsfromissuanceofpreferredstock">Model!$844:$844</definedName>
    <definedName name="z_GKCC7G0131_MO_CCFS_Proceedsfromsaleofpropertyandequipment">Model!$836:$836</definedName>
    <definedName name="z_GKCC7G0131_MO_CCFS_PurchasesofEquitysecurities">Model!$829:$829</definedName>
    <definedName name="z_GKCC7G0131_MO_CCFS_purchasesoffixedincomesecurities">Model!$828:$828</definedName>
    <definedName name="z_GKCC7G0131_MO_CCFS_purchasesoflimitedpartnershipinterests">Model!$830:$830</definedName>
    <definedName name="z_GKCC7G0131_MO_CCFS_purchasesofmortgageloans">Model!$831:$831</definedName>
    <definedName name="z_GKCC7G0131_MO_CCFS_PurchasesofOtherinvestments">Model!$832:$832</definedName>
    <definedName name="z_GKCC7G0131_MO_CCFS_purchasesofpropertyandequipment">Model!$835:$835</definedName>
    <definedName name="z_GKCC7G0131_MO_CCFS_realizedcapitalgainsandlosses">Model!$799:$799</definedName>
    <definedName name="z_GKCC7G0131_MO_CCFS_Redemptionofpreferredstock">Model!$845:$845</definedName>
    <definedName name="z_GKCC7G0131_MO_CCFS_reinsurancerecoverables">Model!$812:$812</definedName>
    <definedName name="z_GKCC7G0131_MO_CCFS_Repaymentsoflongtermdebt">Model!$843:$843</definedName>
    <definedName name="z_GKCC7G0131_MO_CCFS_SalesofEquitysecurities">Model!$821:$821</definedName>
    <definedName name="z_GKCC7G0131_MO_CCFS_salesoffixedincomesecurities">Model!$820:$820</definedName>
    <definedName name="z_GKCC7G0131_MO_CCFS_salesoflimitedpartnershipinterests">Model!$822:$822</definedName>
    <definedName name="z_GKCC7G0131_MO_CCFS_Sharesreissuedunderequityincentiveplans">Model!$851:$851</definedName>
    <definedName name="z_GKCC7G0131_MO_CCFS_treasurystockpurchases">Model!$850:$850</definedName>
    <definedName name="z_GKCC7G0131_MO_CCFS_unearnedpremiums">Model!$809:$809</definedName>
    <definedName name="z_GKCC7G0131_MO_CFS_Acquisitionofoperations">Model!$910:$910</definedName>
    <definedName name="z_GKCC7G0131_MO_CFS_BeginningCashBalance">Model!$933:$933</definedName>
    <definedName name="z_GKCC7G0131_MO_CFS_Cashclassifiedasassetsheldforsaleatendofperiod">Model!$931:$931</definedName>
    <definedName name="z_GKCC7G0131_MO_CFS_cashclassifiedasheldforsale">Model!$926:$926</definedName>
    <definedName name="z_GKCC7G0131_MO_CFS_Cashpaidoninterest">Model!$936:$936</definedName>
    <definedName name="z_GKCC7G0131_MO_CFS_Cashpaidrefundedontaxes">Model!$937:$937</definedName>
    <definedName name="z_GKCC7G0131_MO_CFS_CFCheck">Model!$939:$939</definedName>
    <definedName name="z_GKCC7G0131_MO_CFS_CFF">Model!$913:$913</definedName>
    <definedName name="z_GKCC7G0131_MO_CFS_CFI">Model!$891:$891</definedName>
    <definedName name="z_GKCC7G0131_MO_CFS_CFO">Model!$868:$868</definedName>
    <definedName name="z_GKCC7G0131_MO_CFS_CFObeforeWC">Model!$879:$879</definedName>
    <definedName name="z_GKCC7G0131_MO_CFS_Changeinotherinvestments">Model!$906:$906</definedName>
    <definedName name="z_GKCC7G0131_MO_CFS_changeinshortterminvestments">Model!$905:$905</definedName>
    <definedName name="z_GKCC7G0131_MO_CFS_collectionsoffixedincomesecurities">Model!$897:$897</definedName>
    <definedName name="z_GKCC7G0131_MO_CFS_collectionsofmortgageloans">Model!$895:$895</definedName>
    <definedName name="z_GKCC7G0131_MO_CFS_collectionsofmortgageloans_1">Model!$898:$898</definedName>
    <definedName name="z_GKCC7G0131_MO_CFS_CollectionsofOtherinvestments">Model!$896:$896</definedName>
    <definedName name="z_GKCC7G0131_MO_CFS_CollectionsofOtherinvestments_1">Model!$899:$899</definedName>
    <definedName name="z_GKCC7G0131_MO_CFS_contractholderfunddeposits">Model!$918:$918</definedName>
    <definedName name="z_GKCC7G0131_MO_CFS_contractholderfundwithdrawals">Model!$919:$919</definedName>
    <definedName name="z_GKCC7G0131_MO_CFS_deferredincometaxes">Model!$875:$875</definedName>
    <definedName name="z_GKCC7G0131_MO_CFS_Deferredpolicyacquisitioncosts">Model!$882:$882</definedName>
    <definedName name="z_GKCC7G0131_MO_CFS_depreciation">Model!$870:$870</definedName>
    <definedName name="z_GKCC7G0131_MO_CFS_Dividendspaidoncommonstock">Model!$920:$920</definedName>
    <definedName name="z_GKCC7G0131_MO_CFS_Dividendspaidonpreferredstock">Model!$921:$921</definedName>
    <definedName name="z_GKCC7G0131_MO_CFS_EndingCashBalance">Model!$934:$934</definedName>
    <definedName name="z_GKCC7G0131_MO_CFS_excesstaxbenefitsonsharebasedpaymentarrangements">Model!$924:$924</definedName>
    <definedName name="z_GKCC7G0131_MO_CFS_FX">Model!$929:$929</definedName>
    <definedName name="z_GKCC7G0131_MO_CFS_gainondispositionofoperations">Model!$874:$874</definedName>
    <definedName name="z_GKCC7G0131_MO_CFS_GoodwillImpairment">Model!$878:$878</definedName>
    <definedName name="z_GKCC7G0131_MO_CFS_incometaxes">Model!$885:$885</definedName>
    <definedName name="z_GKCC7G0131_MO_CFS_incometaxes_1">Model!$888:$888</definedName>
    <definedName name="z_GKCC7G0131_MO_CFS_interestcreditedtocontractholderfunds">Model!$876:$876</definedName>
    <definedName name="z_GKCC7G0131_MO_CFS_Lossofdispositionofoperations">Model!$877:$877</definedName>
    <definedName name="z_GKCC7G0131_MO_CFS_Lossonextinguishmentofdebt">Model!$873:$873</definedName>
    <definedName name="z_GKCC7G0131_MO_CFS_lossreserves">Model!$887:$887</definedName>
    <definedName name="z_GKCC7G0131_MO_CFS_NetCFF">Model!$927:$927</definedName>
    <definedName name="z_GKCC7G0131_MO_CFS_NetCFI">Model!$911:$911</definedName>
    <definedName name="z_GKCC7G0131_MO_CFS_NetCFO">Model!$889:$889</definedName>
    <definedName name="z_GKCC7G0131_MO_CFS_NetChangeinCashBalance">Model!$930:$930</definedName>
    <definedName name="z_GKCC7G0131_MO_CFS_netincome">Model!$869:$869</definedName>
    <definedName name="z_GKCC7G0131_MO_CFS_Other">Model!$925:$925</definedName>
    <definedName name="z_GKCC7G0131_MO_CFS_Otheroperatingassetsandliabilities">Model!$886:$886</definedName>
    <definedName name="z_GKCC7G0131_MO_CFS_Pensionandotherpostretirementremeasurementgainsandlosses">Model!$872:$872</definedName>
    <definedName name="z_GKCC7G0131_MO_CFS_Policybenefitsandotherinsurancereserves">Model!$880:$880</definedName>
    <definedName name="z_GKCC7G0131_MO_CFS_premiuminstallmentreceivables">Model!$883:$883</definedName>
    <definedName name="z_GKCC7G0131_MO_CFS_Proceedsfromdispositionofoperations">Model!$909:$909</definedName>
    <definedName name="z_GKCC7G0131_MO_CFS_Proceedsfromissuanceoflongtermdebt">Model!$914:$914</definedName>
    <definedName name="z_GKCC7G0131_MO_CFS_proceedsfromissuanceofpreferredstock">Model!$916:$916</definedName>
    <definedName name="z_GKCC7G0131_MO_CFS_Proceedsfromsaleofpropertyandequipment">Model!$908:$908</definedName>
    <definedName name="z_GKCC7G0131_MO_CFS_PurchasesofEquitysecurities">Model!$901:$901</definedName>
    <definedName name="z_GKCC7G0131_MO_CFS_purchasesoffixedincomesecurities">Model!$900:$900</definedName>
    <definedName name="z_GKCC7G0131_MO_CFS_purchasesoflimitedpartnershipinterests">Model!$902:$902</definedName>
    <definedName name="z_GKCC7G0131_MO_CFS_purchasesofmortgageloans">Model!$903:$903</definedName>
    <definedName name="z_GKCC7G0131_MO_CFS_PurchasesofOtherinvestments">Model!$904:$904</definedName>
    <definedName name="z_GKCC7G0131_MO_CFS_purchasesofpropertyandequipment">Model!$907:$907</definedName>
    <definedName name="z_GKCC7G0131_MO_CFS_realizedcapitalgainsandlosses">Model!$871:$871</definedName>
    <definedName name="z_GKCC7G0131_MO_CFS_Redemptionofpreferredstock">Model!$917:$917</definedName>
    <definedName name="z_GKCC7G0131_MO_CFS_reinsurancerecoverables">Model!$884:$884</definedName>
    <definedName name="z_GKCC7G0131_MO_CFS_Repaymentsoflongtermdebt">Model!$915:$915</definedName>
    <definedName name="z_GKCC7G0131_MO_CFS_SalesofEquitysecurities">Model!$893:$893</definedName>
    <definedName name="z_GKCC7G0131_MO_CFS_salesoffixedincomesecurities">Model!$892:$892</definedName>
    <definedName name="z_GKCC7G0131_MO_CFS_salesoflimitedpartnershipinterests">Model!$894:$894</definedName>
    <definedName name="z_GKCC7G0131_MO_CFS_Sharesreissuedunderequityincentiveplans">Model!$923:$923</definedName>
    <definedName name="z_GKCC7G0131_MO_CFS_treasurystockpurchases">Model!$922:$922</definedName>
    <definedName name="z_GKCC7G0131_MO_CFS_unearnedpremiums">Model!$881:$881</definedName>
    <definedName name="z_GKCC7G0131_MO_Checks_SNA_BalanceSheetisnotRepeated">Model!$1006:$1006</definedName>
    <definedName name="z_GKCC7G0131_MO_Checks_SNA_CashBalancePositive">Model!$1003:$1003</definedName>
    <definedName name="z_GKCC7G0131_MO_Checks_SNA_CashFlowisnotRepeated">Model!$1004:$1004</definedName>
    <definedName name="z_GKCC7G0131_MO_Checks_SNA_CFFsubtotalFYSumofQs">Model!$1013:$1013</definedName>
    <definedName name="z_GKCC7G0131_MO_Checks_SNA_CFIsubtotalFYSumofQs">Model!$1012:$1012</definedName>
    <definedName name="z_GKCC7G0131_MO_Checks_SNA_CFOBeforeWCsubtotalFYSumofQs">Model!$1010:$1010</definedName>
    <definedName name="z_GKCC7G0131_MO_Checks_SNA_CFOsubtotalFYSumofQs">Model!$1011:$1011</definedName>
    <definedName name="z_GKCC7G0131_MO_Checks_SNA_EndingCFEndingCumulativeCF">Model!$1007:$1007</definedName>
    <definedName name="z_GKCC7G0131_MO_Checks_SNA_EndingInvestmentsEndingInvestmentsinBS">Model!$999:$999</definedName>
    <definedName name="z_GKCC7G0131_MO_Checks_SNA_GLRGLRinBS">Model!$1000:$1000</definedName>
    <definedName name="z_GKCC7G0131_MO_Checks_SNA_IncomeStatementisnotRepeated">Model!$1005:$1005</definedName>
    <definedName name="z_GKCC7G0131_MO_Checks_SNA_LossLAELossLAEinRIS">Model!$994:$994</definedName>
    <definedName name="z_GKCC7G0131_MO_Checks_SNA_NEPNEPinRIS">Model!$993:$993</definedName>
    <definedName name="z_GKCC7G0131_MO_Checks_SNA_NetIncomeonReportedISNIonRevised">Model!$992:$992</definedName>
    <definedName name="z_GKCC7G0131_MO_Checks_SNA_NetIncomeonRevisedISNIonCFstatement">Model!$991:$991</definedName>
    <definedName name="z_GKCC7G0131_MO_Checks_SNA_NetInvestmentGainNetInvestmentGaininRIS">Model!$997:$997</definedName>
    <definedName name="z_GKCC7G0131_MO_Checks_SNA_NetInvestmentIncomeNetInvestmentIncomeinRIS">Model!$996:$996</definedName>
    <definedName name="z_GKCC7G0131_MO_Checks_SNA_NetTechnicalReserveNUPRNLR">Model!$1002:$1002</definedName>
    <definedName name="z_GKCC7G0131_MO_Checks_SNA_OtherOperatingExpenseOtherOperatingExpenseinRIS">Model!$995:$995</definedName>
    <definedName name="z_GKCC7G0131_MO_Checks_SNA_RISAdjustedNIFYSumofQs">Model!$1009:$1009</definedName>
    <definedName name="z_GKCC7G0131_MO_Checks_SNA_RISNIFYSumofQs">Model!$1008:$1008</definedName>
    <definedName name="z_GKCC7G0131_MO_Checks_SNA_RRRRinBS">Model!$1001:$1001</definedName>
    <definedName name="z_GKCC7G0131_MO_Checks_SNA_UnderwritingExpenseTotalExpense">Model!$998:$998</definedName>
    <definedName name="z_GKCC7G0131_MO_DS_DividendPerCommonShare">Model!$734:$734</definedName>
    <definedName name="z_GKCC7G0131_MO_DS_DividendsPaidtoCommonShareholders">Model!$733:$733</definedName>
    <definedName name="z_GKCC7G0131_MO_DS_PayoutRatio">Model!$736:$736</definedName>
    <definedName name="z_GKCC7G0131_MO_GA_AllstateAnnuitiesRevenueGrowth">Model!$26:$26</definedName>
    <definedName name="z_GKCC7G0131_MO_GA_AllstateBenefitsRevenueGrowth">Model!$25:$25</definedName>
    <definedName name="z_GKCC7G0131_MO_GA_AllstateLifeRevenueGrowth">Model!$24:$24</definedName>
    <definedName name="z_GKCC7G0131_MO_GA_AllstateProtectionAutonetearnedpremiumsgrowth">Model!$14:$14</definedName>
    <definedName name="z_GKCC7G0131_MO_GA_AllstateProtectionAutoNetwrittenpremiumsgrowth">Model!$7:$7</definedName>
    <definedName name="z_GKCC7G0131_MO_GA_AllstateProtectionCommerciallinesnetearnedpremiumsgrowth">Model!$17:$17</definedName>
    <definedName name="z_GKCC7G0131_MO_GA_AllstateProtectionCommerciallinesNetwrittenpremiumsgrowth">Model!$10:$10</definedName>
    <definedName name="z_GKCC7G0131_MO_GA_AllstateProtectionHomeownersnetearnedpremiumsgrowth">Model!$15:$15</definedName>
    <definedName name="z_GKCC7G0131_MO_GA_AllstateProtectionHomeownersNetwrittenpremiumsgrowth">Model!$8:$8</definedName>
    <definedName name="z_GKCC7G0131_MO_GA_AllstateProtectionnetwrittenpremiumsgrowth">Model!$11:$11</definedName>
    <definedName name="z_GKCC7G0131_MO_GA_AllstateProtectionOtherpersonallinesnetearnedpremiumsgrowth">Model!$16:$16</definedName>
    <definedName name="z_GKCC7G0131_MO_GA_AllstateProtectionOtherpersonallinesNetwrittenpremiumsgrowth">Model!$9:$9</definedName>
    <definedName name="z_GKCC7G0131_MO_GA_Otherbusinesslinesnetearnedpremiumsgrowth_1">Model!$18:$18</definedName>
    <definedName name="z_GKCC7G0131_MO_GA_PropertyLiabilityRevenueGrowth">Model!$22:$22</definedName>
    <definedName name="z_GKCC7G0131_MO_GA_ServiceBusinessesRevenueGrowth">Model!$23:$23</definedName>
    <definedName name="z_GKCC7G0131_MO_GA_TotalConsolidatedRevenueGrowth">Model!$27:$27</definedName>
    <definedName name="z_GKCC7G0131_MO_Header_ColumnHeader">Model!$5:$5</definedName>
    <definedName name="z_GKCC7G0131_MO_Header_CompanySubTitle">Model!$2:$2</definedName>
    <definedName name="z_GKCC7G0131_MO_Header_CompanyTitle">Model!$1:$1</definedName>
    <definedName name="z_GKCC7G0131_MO_Header_FPDays">Model!$3:$3</definedName>
    <definedName name="z_GKCC7G0131_MO_Header_QEndDate">Model!$4:$4</definedName>
    <definedName name="z_GKCC7G0131_MO_IS_Amortizationofdeferredpolicyacquisitioncosts">Model!$623:$623</definedName>
    <definedName name="z_GKCC7G0131_MO_IS_Amortizationofpurchasedintangibleassets">Model!$628:$628</definedName>
    <definedName name="z_GKCC7G0131_MO_IS_gainlossondispositionofoperations">Model!$632:$632</definedName>
    <definedName name="z_GKCC7G0131_MO_IS_Goodwillimpairment">Model!$627:$627</definedName>
    <definedName name="z_GKCC7G0131_MO_IS_incomefromoperationsbeforeincometaxexpense">Model!$633:$633</definedName>
    <definedName name="z_GKCC7G0131_MO_IS_incometaxexpense">Model!$634:$634</definedName>
    <definedName name="z_GKCC7G0131_MO_IS_interestcreditedtocontractholderfunds">Model!$622:$622</definedName>
    <definedName name="z_GKCC7G0131_MO_IS_interestexpense">Model!$630:$630</definedName>
    <definedName name="z_GKCC7G0131_MO_IS_ISCheck">Model!$643:$643</definedName>
    <definedName name="z_GKCC7G0131_MO_IS_lifeandannuitycontractbenefits">Model!$621:$621</definedName>
    <definedName name="z_GKCC7G0131_MO_IS_lifeandannuitypremiumsandcontractcharges">Model!$610:$610</definedName>
    <definedName name="z_GKCC7G0131_MO_IS_Lossfromdiscontinuedoperations">Model!$636:$636</definedName>
    <definedName name="z_GKCC7G0131_MO_IS_Lossonextinguishmentofdebt">Model!$629:$629</definedName>
    <definedName name="z_GKCC7G0131_MO_IS_netincome">Model!$635:$635</definedName>
    <definedName name="z_GKCC7G0131_MO_IS_netincomeapplicabletocommonshareholders">Model!$641:$641</definedName>
    <definedName name="z_GKCC7G0131_MO_IS_netinvestmentincome">Model!$612:$612</definedName>
    <definedName name="z_GKCC7G0131_MO_IS_Netlossattributabletononcontrollinginterest">Model!$638:$638</definedName>
    <definedName name="z_GKCC7G0131_MO_IS_Netlossincome">Model!$637:$637</definedName>
    <definedName name="z_GKCC7G0131_MO_IS_NetlossincomeattributabletoAllstate">Model!$639:$639</definedName>
    <definedName name="z_GKCC7G0131_MO_IS_netottilossesrecognizedinearnings">Model!$615:$615</definedName>
    <definedName name="z_GKCC7G0131_MO_IS_operatingcostsandexpenses">Model!$624:$624</definedName>
    <definedName name="z_GKCC7G0131_MO_IS_Otherrevenue">Model!$611:$611</definedName>
    <definedName name="z_GKCC7G0131_MO_IS_OTTIlossesreclassifiedtofromothercomprehensiveincome">Model!$614:$614</definedName>
    <definedName name="z_GKCC7G0131_MO_IS_Pensionandotherpostretirementremeasurementgainsandlosses">Model!$625:$625</definedName>
    <definedName name="z_GKCC7G0131_MO_IS_Preferredstockdividends">Model!$640:$640</definedName>
    <definedName name="z_GKCC7G0131_MO_IS_propertyliabilityinsuranceclaimsandclaimsexpense">Model!$619:$619</definedName>
    <definedName name="z_GKCC7G0131_MO_IS_propertyliabilityinsurancepremiums">Model!$609:$609</definedName>
    <definedName name="z_GKCC7G0131_MO_IS_restructuringandrelatedcharges">Model!$626:$626</definedName>
    <definedName name="z_GKCC7G0131_MO_IS_Salesandotherrealizedcapitalgainsandlosses">Model!$616:$616</definedName>
    <definedName name="z_GKCC7G0131_MO_IS_Shelterinplacepaybackexpense">Model!$620:$620</definedName>
    <definedName name="z_GKCC7G0131_MO_IS_totalcostsandexpenses">Model!$631:$631</definedName>
    <definedName name="z_GKCC7G0131_MO_IS_totalotherthantemporaryimpairment“otti”losses">Model!$613:$613</definedName>
    <definedName name="z_GKCC7G0131_MO_IS_TotalotherthantemporaryimpairmentOTTIlosses">Model!$613:$613</definedName>
    <definedName name="z_GKCC7G0131_MO_IS_totalrealizedcapitalgainsandlosses">Model!$617:$617</definedName>
    <definedName name="z_GKCC7G0131_MO_IS_totalrevenue">Model!$618:$618</definedName>
    <definedName name="z_GKCC7G0131_MO_MA_AverageFXRate">Model!$791:$791</definedName>
    <definedName name="z_GKCC7G0131_MO_MA_EoPFXRate">Model!$792:$792</definedName>
    <definedName name="z_GKCC7G0131_MO_MA_StockEoP">Model!$790:$790</definedName>
    <definedName name="z_GKCC7G0131_MO_MA_StockPriceTradingCurAvg">Model!$793:$793</definedName>
    <definedName name="z_GKCC7G0131_MO_OS_AllstateAnnuitiesAdjustednetlossincome">Model!$586:$586</definedName>
    <definedName name="z_GKCC7G0131_MO_OS_AllstateAnnuitiesAmortizationofdeferredpolicyacquisitioncosts">Model!$580:$580</definedName>
    <definedName name="z_GKCC7G0131_MO_OS_AllstateAnnuitiesContractbenefits">Model!$578:$578</definedName>
    <definedName name="z_GKCC7G0131_MO_OS_AllstateAnnuitiesContractcharges">Model!$574:$574</definedName>
    <definedName name="z_GKCC7G0131_MO_OS_AllstateAnnuitiesContractholderFundsAvgofPeriod">Model!$592:$592</definedName>
    <definedName name="z_GKCC7G0131_MO_OS_AllstateAnnuitiesContractholderFundsBeginningofPeriod">Model!$589:$589</definedName>
    <definedName name="z_GKCC7G0131_MO_OS_AllstateAnnuitiesContractholderFundsChange">Model!$590:$590</definedName>
    <definedName name="z_GKCC7G0131_MO_OS_AllstateAnnuitiesContractholderFundsEndofPeriod">Model!$591:$591</definedName>
    <definedName name="z_GKCC7G0131_MO_OS_AllstateAnnuitiesEBT">Model!$584:$584</definedName>
    <definedName name="z_GKCC7G0131_MO_OS_AllstateAnnuitiesIncometaxbenefitexpenseonoperations">Model!$585:$585</definedName>
    <definedName name="z_GKCC7G0131_MO_OS_AllstateAnnuitiesInterestcreditedtocontractholderfunds">Model!$579:$579</definedName>
    <definedName name="z_GKCC7G0131_MO_OS_AllstateAnnuitiesInvestmentsAvgofPeriod">Model!$603:$603</definedName>
    <definedName name="z_GKCC7G0131_MO_OS_AllstateAnnuitiesInvestmentsBeginningofPeriod">Model!$600:$600</definedName>
    <definedName name="z_GKCC7G0131_MO_OS_AllstateAnnuitiesInvestmentsChange">Model!$601:$601</definedName>
    <definedName name="z_GKCC7G0131_MO_OS_AllstateAnnuitiesInvestmentsEndofPeriod">Model!$602:$602</definedName>
    <definedName name="z_GKCC7G0131_MO_OS_AllstateAnnuitiesInvestmentsEndofPeriod_1">Model!$358:$358</definedName>
    <definedName name="z_GKCC7G0131_MO_OS_AllstateAnnuitiesNetinvestmentincome">Model!$575:$575</definedName>
    <definedName name="z_GKCC7G0131_MO_OS_AllstateAnnuitiesOperatingcostsandexpenses">Model!$581:$581</definedName>
    <definedName name="z_GKCC7G0131_MO_OS_AllstateAnnuitiesPoliciesinForce">Model!$426:$426</definedName>
    <definedName name="z_GKCC7G0131_MO_OS_AllstateAnnuitiesRealizedcapitalgainslosses">Model!$576:$576</definedName>
    <definedName name="z_GKCC7G0131_MO_OS_AllstateAnnuitiesRestructuringandrelatedcharges">Model!$583:$583</definedName>
    <definedName name="z_GKCC7G0131_MO_OS_AllstateAnnuitiesRestructuringandrelatedcharges_1">Model!$582:$582</definedName>
    <definedName name="z_GKCC7G0131_MO_OS_AllstateAnnuitiesTotalRevenue">Model!$34:$34</definedName>
    <definedName name="z_GKCC7G0131_MO_OS_AllstateAnnuitiesTotalRevenues">Model!$577:$577</definedName>
    <definedName name="z_GKCC7G0131_MO_OS_AllstateAuto_1">Model!$395:$395</definedName>
    <definedName name="z_GKCC7G0131_MO_OS_AllstateAutonetwrittenpremiums">Model!$371:$371</definedName>
    <definedName name="z_GKCC7G0131_MO_OS_AllstateBenefitsAdjustednetincome">Model!$282:$282</definedName>
    <definedName name="z_GKCC7G0131_MO_OS_AllstateBenefitsAmortizationofdeferredpolicyacquisitioncosts">Model!$277:$277</definedName>
    <definedName name="z_GKCC7G0131_MO_OS_AllstateBenefitsBenefitratio">Model!$285:$285</definedName>
    <definedName name="z_GKCC7G0131_MO_OS_AllstateBenefitsContractbenefits">Model!$275:$275</definedName>
    <definedName name="z_GKCC7G0131_MO_OS_AllstateBenefitsContractholderFundsAvgofPeriod">Model!$292:$292</definedName>
    <definedName name="z_GKCC7G0131_MO_OS_AllstateBenefitsContractholderFundsBeginningofPeriod">Model!$289:$289</definedName>
    <definedName name="z_GKCC7G0131_MO_OS_AllstateBenefitsContractholderFundsChange">Model!$290:$290</definedName>
    <definedName name="z_GKCC7G0131_MO_OS_AllstateBenefitsContractholderFundsEndofPeriod">Model!$291:$291</definedName>
    <definedName name="z_GKCC7G0131_MO_OS_AllstateBenefitsEBT">Model!$280:$280</definedName>
    <definedName name="z_GKCC7G0131_MO_OS_AllstateBenefitsIncometaxexpenseonoperations">Model!$281:$281</definedName>
    <definedName name="z_GKCC7G0131_MO_OS_AllstateBenefitsInterestcreditedtocontractholderfunds">Model!$276:$276</definedName>
    <definedName name="z_GKCC7G0131_MO_OS_AllstateBenefitsInvestmentsAvgofPeriod">Model!$302:$302</definedName>
    <definedName name="z_GKCC7G0131_MO_OS_AllstateBenefitsInvestmentsBeginningofPeriod">Model!$299:$299</definedName>
    <definedName name="z_GKCC7G0131_MO_OS_AllstateBenefitsInvestmentsChange">Model!$300:$300</definedName>
    <definedName name="z_GKCC7G0131_MO_OS_AllstateBenefitsInvestmentsEndofPeriod">Model!$301:$301</definedName>
    <definedName name="z_GKCC7G0131_MO_OS_AllstateBenefitsInvestmentsEndofPeriod_1">Model!$357:$357</definedName>
    <definedName name="z_GKCC7G0131_MO_OS_AllstateBenefitsNetinvestmentincome">Model!$271:$271</definedName>
    <definedName name="z_GKCC7G0131_MO_OS_AllstateBenefitsNetInvestmentIncomeYieldAnnualized">Model!$305:$305</definedName>
    <definedName name="z_GKCC7G0131_MO_OS_AllstateBenefitsOperatingcostsandexpenses">Model!$278:$278</definedName>
    <definedName name="z_GKCC7G0131_MO_OS_AllstateBenefitsOperatingexpenseratio">Model!$286:$286</definedName>
    <definedName name="z_GKCC7G0131_MO_OS_AllstateBenefitsPoliciesinForce">Model!$425:$425</definedName>
    <definedName name="z_GKCC7G0131_MO_OS_AllstateBenefitsPremiumsandcontractcharges">Model!$270:$270</definedName>
    <definedName name="z_GKCC7G0131_MO_OS_AllstateBenefitsRealizedcapitalgainslosses">Model!$273:$273</definedName>
    <definedName name="z_GKCC7G0131_MO_OS_AllstateBenefitsRestructuringandrelatedcharges">Model!$279:$279</definedName>
    <definedName name="z_GKCC7G0131_MO_OS_AllstateBenefitsTotalRevenue">Model!$33:$33</definedName>
    <definedName name="z_GKCC7G0131_MO_OS_AllstateBenefitsTotalRevenues">Model!$274:$274</definedName>
    <definedName name="z_GKCC7G0131_MO_OS_AllstateBrandAutoExpenses">Model!$454:$454</definedName>
    <definedName name="z_GKCC7G0131_MO_OS_AllstateBrandAutoIncurredlosses">Model!$448:$448</definedName>
    <definedName name="z_GKCC7G0131_MO_OS_AllstateBrandAutoNetpremiumsearned">Model!$436:$436</definedName>
    <definedName name="z_GKCC7G0131_MO_OS_AllstateBrandAutoOtherrevenue">Model!$442:$442</definedName>
    <definedName name="z_GKCC7G0131_MO_OS_AllstateBrandAutoUnderwritingIncomeLoss">Model!$460:$460</definedName>
    <definedName name="z_GKCC7G0131_MO_OS_AllstateBrandCombinedratio_1">Model!$469:$469</definedName>
    <definedName name="z_GKCC7G0131_MO_OS_AllstateBrandCommerciallinesExpenses">Model!$457:$457</definedName>
    <definedName name="z_GKCC7G0131_MO_OS_AllstateBrandCommerciallinesIncurredlosses">Model!$451:$451</definedName>
    <definedName name="z_GKCC7G0131_MO_OS_AllstateBrandCommerciallinesNetpremiumsearned">Model!$439:$439</definedName>
    <definedName name="z_GKCC7G0131_MO_OS_AllstateBrandCommerciallinesOtherrevenue">Model!$445:$445</definedName>
    <definedName name="z_GKCC7G0131_MO_OS_AllstateBrandCommerciallinesUnderwritingIncomeLoss">Model!$463:$463</definedName>
    <definedName name="z_GKCC7G0131_MO_OS_AllstateBrandEffectofamortizationofpurchasedintangibles">Model!$472:$472</definedName>
    <definedName name="z_GKCC7G0131_MO_OS_AllstateBrandEffectofcatastrophelosses">Model!$470:$470</definedName>
    <definedName name="z_GKCC7G0131_MO_OS_AllstateBrandEffectofprioryearnoncatastrophereservereestimates">Model!$471:$471</definedName>
    <definedName name="z_GKCC7G0131_MO_OS_AllstateBrandExpenseratio">Model!$468:$468</definedName>
    <definedName name="z_GKCC7G0131_MO_OS_AllstateBrandExpenses">Model!$459:$459</definedName>
    <definedName name="z_GKCC7G0131_MO_OS_AllstateBrandHomeownersExpenses">Model!$455:$455</definedName>
    <definedName name="z_GKCC7G0131_MO_OS_AllstateBrandHomeownersIncurredlosses">Model!$449:$449</definedName>
    <definedName name="z_GKCC7G0131_MO_OS_AllstateBrandHomeownersNetpremiumsearned">Model!$437:$437</definedName>
    <definedName name="z_GKCC7G0131_MO_OS_AllstateBrandHomeownersOtherrevenue">Model!$443:$443</definedName>
    <definedName name="z_GKCC7G0131_MO_OS_AllstateBrandHomeownersUnderwritingIncomeLoss">Model!$461:$461</definedName>
    <definedName name="z_GKCC7G0131_MO_OS_AllstateBrandIncurredlosses">Model!$453:$453</definedName>
    <definedName name="z_GKCC7G0131_MO_OS_AllstateBrandLossratio">Model!$467:$467</definedName>
    <definedName name="z_GKCC7G0131_MO_OS_AllstateBrandNetpremiumsearned">Model!$441:$441</definedName>
    <definedName name="z_GKCC7G0131_MO_OS_AllstateBrandOtherbusinesslinesExpenses">Model!$458:$458</definedName>
    <definedName name="z_GKCC7G0131_MO_OS_AllstateBrandOtherbusinesslinesNetpremiumsearned">Model!$440:$440</definedName>
    <definedName name="z_GKCC7G0131_MO_OS_AllstateBrandOtherbusinesslinesOtherrevenue">Model!$446:$446</definedName>
    <definedName name="z_GKCC7G0131_MO_OS_AllstateBrandOtherbusinesslinesUnderwritingIncomeLoss">Model!$464:$464</definedName>
    <definedName name="z_GKCC7G0131_MO_OS_AllstateBrandOthercommerciallinesIncurredlosses">Model!$452:$452</definedName>
    <definedName name="z_GKCC7G0131_MO_OS_AllstateBrandOtherpersonallinesExpenses">Model!$456:$456</definedName>
    <definedName name="z_GKCC7G0131_MO_OS_AllstateBrandOtherpersonallinesIncurredlosses">Model!$450:$450</definedName>
    <definedName name="z_GKCC7G0131_MO_OS_AllstateBrandOtherpersonallinesNetpremiumsearned">Model!$438:$438</definedName>
    <definedName name="z_GKCC7G0131_MO_OS_AllstateBrandOtherpersonallinesOtherrevenue">Model!$444:$444</definedName>
    <definedName name="z_GKCC7G0131_MO_OS_AllstateBrandOtherpersonallinesUnderwritingIncomeLoss">Model!$462:$462</definedName>
    <definedName name="z_GKCC7G0131_MO_OS_AllstateBrandOtherrevenue_1">Model!$447:$447</definedName>
    <definedName name="z_GKCC7G0131_MO_OS_AllstateBrandUnderlyingCombinedratio">Model!$473:$473</definedName>
    <definedName name="z_GKCC7G0131_MO_OS_AllstateBrandUnderwritingIncomeLoss">Model!$465:$465</definedName>
    <definedName name="z_GKCC7G0131_MO_OS_AllstateCanada">Model!$406:$406</definedName>
    <definedName name="z_GKCC7G0131_MO_OS_AllstateCommerciallines_1">Model!$403:$403</definedName>
    <definedName name="z_GKCC7G0131_MO_OS_AllstateCommerciallinesnetwrittenpremiums">Model!$374:$374</definedName>
    <definedName name="z_GKCC7G0131_MO_OS_AllstateDealerServicesnetwrittenpremiums">Model!$387:$387</definedName>
    <definedName name="z_GKCC7G0131_MO_OS_AllstateExcessandsurplus">Model!$408:$408</definedName>
    <definedName name="z_GKCC7G0131_MO_OS_AllstateHealthandBenefitsOtherrevenue">Model!$272:$272</definedName>
    <definedName name="z_GKCC7G0131_MO_OS_AllstateHealthandBenefitsYYChangeinPremiumsandContractCharges">Model!$284:$284</definedName>
    <definedName name="z_GKCC7G0131_MO_OS_AllstateHomeowners_1">Model!$396:$396</definedName>
    <definedName name="z_GKCC7G0131_MO_OS_AllstateHomeownersnetwrittenpremiums">Model!$372:$372</definedName>
    <definedName name="z_GKCC7G0131_MO_OS_AllstateInvoluntaryauto">Model!$407:$407</definedName>
    <definedName name="z_GKCC7G0131_MO_OS_AllstateLifeAdjustednetincome">Model!$547:$547</definedName>
    <definedName name="z_GKCC7G0131_MO_OS_AllstateLifeAmortizationofdeferredpolicyacquisitioncosts">Model!$541:$541</definedName>
    <definedName name="z_GKCC7G0131_MO_OS_AllstateLifeBenefitratio">Model!$551:$551</definedName>
    <definedName name="z_GKCC7G0131_MO_OS_AllstateLifeContractbenefits">Model!$539:$539</definedName>
    <definedName name="z_GKCC7G0131_MO_OS_AllstateLifeContractholderFundsAvgofPeriod">Model!$558:$558</definedName>
    <definedName name="z_GKCC7G0131_MO_OS_AllstateLifeContractholderFundsBeginningofPeriod">Model!$555:$555</definedName>
    <definedName name="z_GKCC7G0131_MO_OS_AllstateLifeContractholderFundsChange">Model!$556:$556</definedName>
    <definedName name="z_GKCC7G0131_MO_OS_AllstateLifeContractholderFundsEndofPeriod">Model!$557:$557</definedName>
    <definedName name="z_GKCC7G0131_MO_OS_AllstateLifeEBT">Model!$545:$545</definedName>
    <definedName name="z_GKCC7G0131_MO_OS_AllstateLifeIncometaxexpenseonoperations">Model!$546:$546</definedName>
    <definedName name="z_GKCC7G0131_MO_OS_AllstateLifeInterestcreditedtocontractholderfunds">Model!$540:$540</definedName>
    <definedName name="z_GKCC7G0131_MO_OS_AllstateLifeInvestmentsAvgofPeriod">Model!$568:$568</definedName>
    <definedName name="z_GKCC7G0131_MO_OS_AllstateLifeInvestmentsBeginningofPeriod">Model!$565:$565</definedName>
    <definedName name="z_GKCC7G0131_MO_OS_AllstateLifeInvestmentsChange">Model!$566:$566</definedName>
    <definedName name="z_GKCC7G0131_MO_OS_AllstateLifeInvestmentsEndofPeriod">Model!$567:$567</definedName>
    <definedName name="z_GKCC7G0131_MO_OS_AllstateLifeInvestmentsEndofPeriod_1">Model!$356:$356</definedName>
    <definedName name="z_GKCC7G0131_MO_OS_AllstateLifeLossondispositionofoperations">Model!$544:$544</definedName>
    <definedName name="z_GKCC7G0131_MO_OS_AllstateLifeNetinvestmentincome">Model!$536:$536</definedName>
    <definedName name="z_GKCC7G0131_MO_OS_AllstateLifeNetInvestmentIncomeYieldAnnualized">Model!$571:$571</definedName>
    <definedName name="z_GKCC7G0131_MO_OS_AllstateLifeOperatingcostsandexpenses">Model!$542:$542</definedName>
    <definedName name="z_GKCC7G0131_MO_OS_AllstateLifeOperatingexpenseratio">Model!$552:$552</definedName>
    <definedName name="z_GKCC7G0131_MO_OS_AllstateLifeOtherrevenue">Model!$535:$535</definedName>
    <definedName name="z_GKCC7G0131_MO_OS_AllstateLifePoliciesinForce">Model!$424:$424</definedName>
    <definedName name="z_GKCC7G0131_MO_OS_AllstateLifePremiumandcontractcharges">Model!$534:$534</definedName>
    <definedName name="z_GKCC7G0131_MO_OS_AllstateLifeRealizedcapitalgainslosses">Model!$537:$537</definedName>
    <definedName name="z_GKCC7G0131_MO_OS_AllstateLifeRestructuringandrelatedcharges">Model!$543:$543</definedName>
    <definedName name="z_GKCC7G0131_MO_OS_AllstateLifeTotalRevenue">Model!$32:$32</definedName>
    <definedName name="z_GKCC7G0131_MO_OS_AllstateLifeTotalRevenue_1">Model!$538:$538</definedName>
    <definedName name="z_GKCC7G0131_MO_OS_AllstateOtherbusinesslines_1">Model!$405:$405</definedName>
    <definedName name="z_GKCC7G0131_MO_OS_AllstateOtherbusinesslinesnetwrittenpremiums">Model!$375:$375</definedName>
    <definedName name="z_GKCC7G0131_MO_OS_AllstateOtherpersonallines_1">Model!$401:$401</definedName>
    <definedName name="z_GKCC7G0131_MO_OS_AllstateOtherpersonallinesnetwrittenpremiums">Model!$373:$373</definedName>
    <definedName name="z_GKCC7G0131_MO_OS_AllstatePoliciesinForce">Model!$409:$409</definedName>
    <definedName name="z_GKCC7G0131_MO_OS_AllstateProtectionAutoCombinedratio">Model!$172:$172</definedName>
    <definedName name="z_GKCC7G0131_MO_OS_AllstateProtectionAutoEffectofcatastrophelosses">Model!$69:$69</definedName>
    <definedName name="z_GKCC7G0131_MO_OS_AllstateProtectionAutoEffectofcatastrophelossesincludedinprioryearreservereestimates">Model!$72:$72</definedName>
    <definedName name="z_GKCC7G0131_MO_OS_AllstateProtectionAutoEffectofcatastrophelossesincludedinprioryearreservereestimates_1">Model!$140:$140</definedName>
    <definedName name="z_GKCC7G0131_MO_OS_AllstateProtectionAutoEffectofcatastrophelossesoncombinedratio">Model!$137:$137</definedName>
    <definedName name="z_GKCC7G0131_MO_OS_AllstateProtectionAutoEffectofprioryearreservereestimates">Model!$71:$71</definedName>
    <definedName name="z_GKCC7G0131_MO_OS_AllstateProtectionAutoEffectofprioryearreservereestimates_1">Model!$139:$139</definedName>
    <definedName name="z_GKCC7G0131_MO_OS_AllstateProtectionAutoLossandLAEbeforecatastrophelossesandprioryeardevelopments">Model!$68:$68</definedName>
    <definedName name="z_GKCC7G0131_MO_OS_AllstateProtectionAutoLossandLAEbeforeprioryeardevelopments">Model!$70:$70</definedName>
    <definedName name="z_GKCC7G0131_MO_OS_AllstateProtectionAutoLossandLAEcalculated">Model!$73:$73</definedName>
    <definedName name="z_GKCC7G0131_MO_OS_AllstateProtectionAutoLossandLAEratio">Model!$141:$141</definedName>
    <definedName name="z_GKCC7G0131_MO_OS_AllstateProtectionAutoLossandLAEratiobeforecatastrophelossesandprioryeardevelopments">Model!$136:$136</definedName>
    <definedName name="z_GKCC7G0131_MO_OS_AllstateProtectionAutoLossandLAEratiobeforeprioryeardevelopments">Model!$138:$138</definedName>
    <definedName name="z_GKCC7G0131_MO_OS_AllstateProtectionAutoNetpremiumsceded">Model!$49:$49</definedName>
    <definedName name="z_GKCC7G0131_MO_OS_AllstateProtectionAutoNetpremiumsearned">Model!$58:$58</definedName>
    <definedName name="z_GKCC7G0131_MO_OS_AllstateProtectionAutoNetpremiumswritten">Model!$40:$40</definedName>
    <definedName name="z_GKCC7G0131_MO_OS_AllstateProtectionAutootheroperatingexpenseratio">Model!$164:$164</definedName>
    <definedName name="z_GKCC7G0131_MO_OS_AllstateProtectionAutootheroperatingexpensescalculated">Model!$98:$98</definedName>
    <definedName name="z_GKCC7G0131_MO_OS_AllstateProtectionAutopercentageofwrittenpremiumsearned">Model!$128:$128</definedName>
    <definedName name="z_GKCC7G0131_MO_OS_AllstateProtectionAutoUnderwritingexpense">Model!$107:$107</definedName>
    <definedName name="z_GKCC7G0131_MO_OS_AllstateProtectionAutoUnderwritingIncome">Model!$116:$116</definedName>
    <definedName name="z_GKCC7G0131_MO_OS_AllstateProtectionCommerciallinesCombinedratio">Model!$175:$175</definedName>
    <definedName name="z_GKCC7G0131_MO_OS_AllstateProtectionCommerciallinesEffectofcatastrophelosses">Model!$87:$87</definedName>
    <definedName name="z_GKCC7G0131_MO_OS_AllstateProtectionCommerciallinesEffectofcatastrophelossesincludedinprioryearreservereestimates">Model!$90:$90</definedName>
    <definedName name="z_GKCC7G0131_MO_OS_AllstateProtectionCommerciallinesEffectofcatastrophelossesincludedinprioryearreservereestimates_1">Model!$158:$158</definedName>
    <definedName name="z_GKCC7G0131_MO_OS_AllstateProtectionCommerciallinesEffectofcatastrophelossesoncombinedratio">Model!$155:$155</definedName>
    <definedName name="z_GKCC7G0131_MO_OS_AllstateProtectionCommerciallinesEffectofprioryearreservereestimates">Model!$89:$89</definedName>
    <definedName name="z_GKCC7G0131_MO_OS_AllstateProtectionCommerciallinesEffectofprioryearreservereestimates_1">Model!$157:$157</definedName>
    <definedName name="z_GKCC7G0131_MO_OS_AllstateProtectionCommerciallinesLossandLAEbeforecatastrophelossesandprioryeardevelopments">Model!$86:$86</definedName>
    <definedName name="z_GKCC7G0131_MO_OS_AllstateProtectionCommerciallinesLossandLAEbeforeprioryeardevelopments">Model!$88:$88</definedName>
    <definedName name="z_GKCC7G0131_MO_OS_AllstateProtectionCommerciallinesLossandLAEcalculated">Model!$91:$91</definedName>
    <definedName name="z_GKCC7G0131_MO_OS_AllstateProtectionCommerciallinesLossandLAEratio">Model!$159:$159</definedName>
    <definedName name="z_GKCC7G0131_MO_OS_AllstateProtectionCommerciallinesLossandLAEratiobeforecatastrophelossesandprioryeardevelopments">Model!$154:$154</definedName>
    <definedName name="z_GKCC7G0131_MO_OS_AllstateProtectionCommerciallinesLossandLAEratiobeforeprioryeardevelopments">Model!$156:$156</definedName>
    <definedName name="z_GKCC7G0131_MO_OS_AllstateProtectionCommerciallinesNetpremiumsceded">Model!$52:$52</definedName>
    <definedName name="z_GKCC7G0131_MO_OS_AllstateProtectionCommerciallinesNetpremiumsearned">Model!$61:$61</definedName>
    <definedName name="z_GKCC7G0131_MO_OS_AllstateProtectionCommerciallinesNetpremiumswritten">Model!$43:$43</definedName>
    <definedName name="z_GKCC7G0131_MO_OS_AllstateProtectionCommerciallinesotheroperatingexpenseratio">Model!$167:$167</definedName>
    <definedName name="z_GKCC7G0131_MO_OS_AllstateProtectionCommerciallinesotheroperatingexpensescalculated">Model!$101:$101</definedName>
    <definedName name="z_GKCC7G0131_MO_OS_AllstateProtectionCommerciallinespercentageofwrittenpremiumsearned">Model!$131:$131</definedName>
    <definedName name="z_GKCC7G0131_MO_OS_AllstateProtectionCommerciallinesUnderwritingexpense">Model!$110:$110</definedName>
    <definedName name="z_GKCC7G0131_MO_OS_AllstateProtectionCommerciallinesUnderwritingIncome">Model!$119:$119</definedName>
    <definedName name="z_GKCC7G0131_MO_OS_AllstateProtectionHomeownersCombinedratio">Model!$173:$173</definedName>
    <definedName name="z_GKCC7G0131_MO_OS_AllstateProtectionHomeownersEffectofcatastrophelosses">Model!$75:$75</definedName>
    <definedName name="z_GKCC7G0131_MO_OS_AllstateProtectionHomeownersEffectofcatastrophelossesincludedinprioryearreservereestimates">Model!$78:$78</definedName>
    <definedName name="z_GKCC7G0131_MO_OS_AllstateProtectionHomeownersEffectofcatastrophelossesincludedinprioryearreservereestimates_1">Model!$146:$146</definedName>
    <definedName name="z_GKCC7G0131_MO_OS_AllstateProtectionHomeownersEffectofcatastrophelossesoncombinedratio">Model!$143:$143</definedName>
    <definedName name="z_GKCC7G0131_MO_OS_AllstateProtectionHomeownersEffectofprioryearreservereestimates">Model!$77:$77</definedName>
    <definedName name="z_GKCC7G0131_MO_OS_AllstateProtectionHomeownersEffectofprioryearreservereestimates_1">Model!$145:$145</definedName>
    <definedName name="z_GKCC7G0131_MO_OS_AllstateProtectionHomeownersLossandLAEbeforecatastrophelossesandprioryeardevelopments">Model!$74:$74</definedName>
    <definedName name="z_GKCC7G0131_MO_OS_AllstateProtectionHomeownersLossandLAEbeforeprioryeardevelopments">Model!$76:$76</definedName>
    <definedName name="z_GKCC7G0131_MO_OS_AllstateProtectionHomeownersLossandLAEcalculated">Model!$79:$79</definedName>
    <definedName name="z_GKCC7G0131_MO_OS_AllstateProtectionHomeownersLossandLAEratio">Model!$147:$147</definedName>
    <definedName name="z_GKCC7G0131_MO_OS_AllstateProtectionHomeownersLossandLAEratiobeforecatastrophelossesandprioryeardevelopments">Model!$142:$142</definedName>
    <definedName name="z_GKCC7G0131_MO_OS_AllstateProtectionHomeownersLossandLAEratiobeforeprioryeardevelopments">Model!$144:$144</definedName>
    <definedName name="z_GKCC7G0131_MO_OS_AllstateProtectionHomeownersNetpremiumsceded">Model!$50:$50</definedName>
    <definedName name="z_GKCC7G0131_MO_OS_AllstateProtectionHomeownersNetpremiumsearned">Model!$59:$59</definedName>
    <definedName name="z_GKCC7G0131_MO_OS_AllstateProtectionHomeownersNetpremiumswritten">Model!$41:$41</definedName>
    <definedName name="z_GKCC7G0131_MO_OS_AllstateProtectionHomeownersotheroperatingexpenseratio">Model!$165:$165</definedName>
    <definedName name="z_GKCC7G0131_MO_OS_AllstateProtectionHomeownersotheroperatingexpensescalculated">Model!$99:$99</definedName>
    <definedName name="z_GKCC7G0131_MO_OS_AllstateProtectionHomeownerspercentageofwrittenpremiumsearned">Model!$129:$129</definedName>
    <definedName name="z_GKCC7G0131_MO_OS_AllstateProtectionHomeownersUnderwritingexpense">Model!$108:$108</definedName>
    <definedName name="z_GKCC7G0131_MO_OS_AllstateProtectionHomeownersUnderwritingIncome">Model!$117:$117</definedName>
    <definedName name="z_GKCC7G0131_MO_OS_AllstateProtectionlossandLAE">Model!$93:$93</definedName>
    <definedName name="z_GKCC7G0131_MO_OS_AllstateProtectionlossandLAEratio">Model!$161:$161</definedName>
    <definedName name="z_GKCC7G0131_MO_OS_AllstateProtectionOtherBusinesslinesCombinedratio">Model!$176:$176</definedName>
    <definedName name="z_GKCC7G0131_MO_OS_AllstateProtectionOtherBusinesslinesLossandLAEcalculated">Model!$92:$92</definedName>
    <definedName name="z_GKCC7G0131_MO_OS_AllstateProtectionOtherBusinesslinesLossandLAEratio">Model!$160:$160</definedName>
    <definedName name="z_GKCC7G0131_MO_OS_AllstateProtectionOtherBusinesslinesNetpremiumsceded">Model!$53:$53</definedName>
    <definedName name="z_GKCC7G0131_MO_OS_AllstateProtectionOtherBusinesslinesNetpremiumsearned">Model!$62:$62</definedName>
    <definedName name="z_GKCC7G0131_MO_OS_AllstateProtectionOtherBusinesslinesNetpremiumswritten">Model!$44:$44</definedName>
    <definedName name="z_GKCC7G0131_MO_OS_AllstateProtectionOtherBusinesslinesotheroperatingexpenseratio">Model!$168:$168</definedName>
    <definedName name="z_GKCC7G0131_MO_OS_AllstateProtectionOtherBusinesslinesotheroperatingexpensescalculated">Model!$102:$102</definedName>
    <definedName name="z_GKCC7G0131_MO_OS_AllstateProtectionOtherBusinesslinespercentageofwrittenpremiumsearned">Model!$132:$132</definedName>
    <definedName name="z_GKCC7G0131_MO_OS_AllstateProtectionOtherBusinesslinesUnderwritingexpense">Model!$111:$111</definedName>
    <definedName name="z_GKCC7G0131_MO_OS_AllstateProtectionOtherbusinesslinesUnderwritingIncome">Model!$120:$120</definedName>
    <definedName name="z_GKCC7G0131_MO_OS_AllstateProtectionotheroperatingexpenseratio_1">Model!$169:$169</definedName>
    <definedName name="z_GKCC7G0131_MO_OS_AllstateProtectionOtherpersonallinesCombinedratio">Model!$174:$174</definedName>
    <definedName name="z_GKCC7G0131_MO_OS_AllstateProtectionOtherpersonallinesEffectofcatastrophelosses">Model!$81:$81</definedName>
    <definedName name="z_GKCC7G0131_MO_OS_AllstateProtectionOtherpersonallinesEffectofcatastrophelossesincludedinprioryearreservereestimates">Model!$84:$84</definedName>
    <definedName name="z_GKCC7G0131_MO_OS_AllstateProtectionOtherpersonallinesEffectofcatastrophelossesincludedinprioryearreservereestimates_1">Model!$152:$152</definedName>
    <definedName name="z_GKCC7G0131_MO_OS_AllstateProtectionOtherpersonallinesEffectofcatastrophelossesoncombinedratio">Model!$149:$149</definedName>
    <definedName name="z_GKCC7G0131_MO_OS_AllstateProtectionOtherpersonallinesEffectofprioryearreservereestimates">Model!$83:$83</definedName>
    <definedName name="z_GKCC7G0131_MO_OS_AllstateProtectionOtherpersonallinesEffectofprioryearreservereestimates_1">Model!$151:$151</definedName>
    <definedName name="z_GKCC7G0131_MO_OS_AllstateProtectionOtherpersonallinesLossandLAEbeforecatastrophelossesandprioryeardevelopments">Model!$80:$80</definedName>
    <definedName name="z_GKCC7G0131_MO_OS_AllstateProtectionOtherpersonallinesLossandLAEbeforeprioryeardevelopments">Model!$82:$82</definedName>
    <definedName name="z_GKCC7G0131_MO_OS_AllstateProtectionOtherpersonallinesLossandLAEcalculated">Model!$85:$85</definedName>
    <definedName name="z_GKCC7G0131_MO_OS_AllstateProtectionOtherpersonallinesLossandLAEratio">Model!$153:$153</definedName>
    <definedName name="z_GKCC7G0131_MO_OS_AllstateProtectionOtherpersonallinesLossandLAEratiobeforecatastrophelossesandprioryeardevelopments">Model!$148:$148</definedName>
    <definedName name="z_GKCC7G0131_MO_OS_AllstateProtectionOtherpersonallinesLossandLAEratiobeforeprioryeardevelopments">Model!$150:$150</definedName>
    <definedName name="z_GKCC7G0131_MO_OS_AllstateProtectionOtherpersonallinesNetpremiumsceded">Model!$51:$51</definedName>
    <definedName name="z_GKCC7G0131_MO_OS_AllstateProtectionOtherpersonallinesNetpremiumsearned">Model!$60:$60</definedName>
    <definedName name="z_GKCC7G0131_MO_OS_AllstateProtectionOtherpersonallinesNetpremiumswritten">Model!$42:$42</definedName>
    <definedName name="z_GKCC7G0131_MO_OS_AllstateProtectionOtherpersonallinesotheroperatingexpenseratio">Model!$166:$166</definedName>
    <definedName name="z_GKCC7G0131_MO_OS_AllstateProtectionOtherpersonallinesotheroperatingexpensescalculated">Model!$100:$100</definedName>
    <definedName name="z_GKCC7G0131_MO_OS_AllstateProtectionOtherpersonallinespercentageofwrittenpremiumsearned">Model!$130:$130</definedName>
    <definedName name="z_GKCC7G0131_MO_OS_AllstateProtectionOtherpersonallinesUnderwritingexpense">Model!$109:$109</definedName>
    <definedName name="z_GKCC7G0131_MO_OS_AllstateProtectionOtherpersonallinesUnderwritingIncome">Model!$118:$118</definedName>
    <definedName name="z_GKCC7G0131_MO_OS_AllstateProtectionpercentageofwrittenpremiumsearned">Model!$133:$133</definedName>
    <definedName name="z_GKCC7G0131_MO_OS_AllstateProtectionPlansnetwrittenpremiums">Model!$386:$386</definedName>
    <definedName name="z_GKCC7G0131_MO_OS_AllstateProtectionunderwritingexpense">Model!$112:$112</definedName>
    <definedName name="z_GKCC7G0131_MO_OS_AllstateRoadsideServices_1">Model!$404:$404</definedName>
    <definedName name="z_GKCC7G0131_MO_OS_AllstateRoadsideServicesnetwrittenpremiums">Model!$388:$388</definedName>
    <definedName name="z_GKCC7G0131_MO_OS_AllstateSpecialtyauto">Model!$402:$402</definedName>
    <definedName name="z_GKCC7G0131_MO_OS_AmortizationofDACasofAvgContractholderFundsAnnualized">Model!$563:$563</definedName>
    <definedName name="z_GKCC7G0131_MO_OS_AmortizationofDACasofAvgContractholderFundsAnnualized_1">Model!$297:$297</definedName>
    <definedName name="z_GKCC7G0131_MO_OS_AnswerFinancialunderwritingincome">Model!$121:$121</definedName>
    <definedName name="z_GKCC7G0131_MO_OS_ChangeinAllstateAnnuitiesContractholderFundsEndofPeriod">Model!$593:$593</definedName>
    <definedName name="z_GKCC7G0131_MO_OS_ChangeinAllstateAnnuitiesInvestmentsEndofPeriod">Model!$604:$604</definedName>
    <definedName name="z_GKCC7G0131_MO_OS_ChangeinAllstateBenefitsContractholderFundsEndofPeriod">Model!$293:$293</definedName>
    <definedName name="z_GKCC7G0131_MO_OS_ChangeinAllstateBenefitsInvestmentsEndofPeriod">Model!$303:$303</definedName>
    <definedName name="z_GKCC7G0131_MO_OS_ChangeinAllstateLifeContractholderFundsEndofPeriod">Model!$559:$559</definedName>
    <definedName name="z_GKCC7G0131_MO_OS_ChangeinAllstateLifeInvestmentsEndofPeriod">Model!$569:$569</definedName>
    <definedName name="z_GKCC7G0131_MO_OS_ChangeinAllstateLifeOtherrevenue">Model!$549:$549</definedName>
    <definedName name="z_GKCC7G0131_MO_OS_ChangeinCorporateOtherInvestmentsEndofPeriod">Model!$333:$333</definedName>
    <definedName name="z_GKCC7G0131_MO_OS_ChangeinNetLossReserves">Model!$349:$349</definedName>
    <definedName name="z_GKCC7G0131_MO_OS_ChangeinNetUnearnedPremiumReserves">Model!$340:$340</definedName>
    <definedName name="z_GKCC7G0131_MO_OS_ChangeinPropertyLiabilityInvestmentsEndofPeriod">Model!$221:$221</definedName>
    <definedName name="z_GKCC7G0131_MO_OS_ChangeinServiceBusinessesIntersegmentinsurancepremiumsandservicefees">Model!$253:$253</definedName>
    <definedName name="z_GKCC7G0131_MO_OS_ChangeinServiceBusinessesInvestmentsEndofPeriod">Model!$265:$265</definedName>
    <definedName name="z_GKCC7G0131_MO_OS_ChangeinServiceBusinessesNetpremiumswritten">Model!$227:$227</definedName>
    <definedName name="z_GKCC7G0131_MO_OS_ChangeinServiceBusinessesOtherrevenue">Model!$252:$252</definedName>
    <definedName name="z_GKCC7G0131_MO_OS_Condominium">Model!$399:$399</definedName>
    <definedName name="z_GKCC7G0131_MO_OS_consensusestimatestotalcombinedratio">Model!$179:$179</definedName>
    <definedName name="z_GKCC7G0131_MO_OS_consensusestimatestotalnetearnedpremiums">Model!$66:$66</definedName>
    <definedName name="z_GKCC7G0131_MO_OS_consensusestimatestotalunderwritingincome">Model!$125:$125</definedName>
    <definedName name="z_GKCC7G0131_MO_OS_ContractBenefitsasofAvgContractholderFundsAnnuzalized">Model!$597:$597</definedName>
    <definedName name="z_GKCC7G0131_MO_OS_ContractChargesasofAvgContractholderFundsAnnualized">Model!$595:$595</definedName>
    <definedName name="z_GKCC7G0131_MO_OS_CorporateOtherAdjustednetloss">Model!$317:$317</definedName>
    <definedName name="z_GKCC7G0131_MO_OS_CorporateOtherBusinesscombinationexpensesaftertax">Model!$323:$323</definedName>
    <definedName name="z_GKCC7G0131_MO_OS_CorporateOtherCurtailmentgainaftertax">Model!$322:$322</definedName>
    <definedName name="z_GKCC7G0131_MO_OS_CorporateOtherEBTimplied">Model!$314:$314</definedName>
    <definedName name="z_GKCC7G0131_MO_OS_CorporateOtherGoodwillimpairment">Model!$324:$324</definedName>
    <definedName name="z_GKCC7G0131_MO_OS_CorporateOtherIncometaxbenefitonoperations">Model!$315:$315</definedName>
    <definedName name="z_GKCC7G0131_MO_OS_CorporateOtherInterestexpense">Model!$313:$313</definedName>
    <definedName name="z_GKCC7G0131_MO_OS_CorporateOtherInvestmentsAvgofPeriod">Model!$332:$332</definedName>
    <definedName name="z_GKCC7G0131_MO_OS_CorporateOtherInvestmentsBeginningofPeriod">Model!$329:$329</definedName>
    <definedName name="z_GKCC7G0131_MO_OS_CorporateOtherInvestmentsChange">Model!$330:$330</definedName>
    <definedName name="z_GKCC7G0131_MO_OS_CorporateOtherInvestmentsEndofPeriod">Model!$331:$331</definedName>
    <definedName name="z_GKCC7G0131_MO_OS_CorporateOtherInvestmentsEndofPeriod_1">Model!$359:$359</definedName>
    <definedName name="z_GKCC7G0131_MO_OS_CorporateOtherLossonextinguishmentofdebtaftertax">Model!$319:$319</definedName>
    <definedName name="z_GKCC7G0131_MO_OS_CorporateOtherNetinvestmentincome">Model!$309:$309</definedName>
    <definedName name="z_GKCC7G0131_MO_OS_CorporateOtherNetInvestmentIncomeYieldAnnualized">Model!$335:$335</definedName>
    <definedName name="z_GKCC7G0131_MO_OS_CorporateOtherNetlossincomeapplicabletocommonshareholders">Model!$326:$326</definedName>
    <definedName name="z_GKCC7G0131_MO_OS_CorporateOtherOperatingcostsandexpenses">Model!$311:$311</definedName>
    <definedName name="z_GKCC7G0131_MO_OS_CorporateOtherOtherrevenue">Model!$308:$308</definedName>
    <definedName name="z_GKCC7G0131_MO_OS_CorporateOtherPensionandotherpostretirementremeasurementgainslossesaftertax">Model!$321:$321</definedName>
    <definedName name="z_GKCC7G0131_MO_OS_CorporateOtherPostretirementbenefitscurtailmentgainaftertax">Model!$320:$320</definedName>
    <definedName name="z_GKCC7G0131_MO_OS_CorporateOtherPreferredstockdividends">Model!$316:$316</definedName>
    <definedName name="z_GKCC7G0131_MO_OS_CorporateOtherRealizedcapitalgainslosses_1">Model!$310:$310</definedName>
    <definedName name="z_GKCC7G0131_MO_OS_CorporateOtherRealizedcapitalgainslossesaftertax">Model!$318:$318</definedName>
    <definedName name="z_GKCC7G0131_MO_OS_CorporateOtherRestructuringandrelatedexpenses">Model!$312:$312</definedName>
    <definedName name="z_GKCC7G0131_MO_OS_CorporateOtherTaxLegislationexpense">Model!$325:$325</definedName>
    <definedName name="z_GKCC7G0131_MO_OS_CorporateOtherTotalRevenue">Model!$35:$35</definedName>
    <definedName name="z_GKCC7G0131_MO_OS_Coverpagecommonstockoutstanding">Model!$724:$724</definedName>
    <definedName name="z_GKCC7G0131_MO_OS_Dateofcoverpagesharecount">Model!$725:$725</definedName>
    <definedName name="z_GKCC7G0131_MO_OS_DebttoCapitalRatio">Model!$767:$767</definedName>
    <definedName name="z_GKCC7G0131_MO_OS_Dilutedsharecounttobasicsharecountratio">Model!$728:$728</definedName>
    <definedName name="z_GKCC7G0131_MO_OS_DilutiveShares">Model!$727:$727</definedName>
    <definedName name="z_GKCC7G0131_MO_OS_DiscontinuedLinesandCoverageslossandLAE">Model!$94:$94</definedName>
    <definedName name="z_GKCC7G0131_MO_OS_DiscontinuedLinesandCoveragesnetcededpremiums_1">Model!$55:$55</definedName>
    <definedName name="z_GKCC7G0131_MO_OS_DiscontinuedLinesandCoveragesnetearnedpremiums_1">Model!$64:$64</definedName>
    <definedName name="z_GKCC7G0131_MO_OS_DiscontinuedLinesandCoveragesnetwrittenpremiums_1">Model!$391:$391</definedName>
    <definedName name="z_GKCC7G0131_MO_OS_DiscontinuedLinesandCoveragesnetwrittenpremiums_2">Model!$46:$46</definedName>
    <definedName name="z_GKCC7G0131_MO_OS_DiscontinuedLinesandCoveragesotheroperatingexpense">Model!$104:$104</definedName>
    <definedName name="z_GKCC7G0131_MO_OS_DiscontinuedLinesandCoveragesunderwritingexpense">Model!$113:$113</definedName>
    <definedName name="z_GKCC7G0131_MO_OS_DiscontinuedLinesandCoveragesunderwritingincome">Model!$123:$123</definedName>
    <definedName name="z_GKCC7G0131_MO_OS_EffectiveInterestRateonDebt">Model!$774:$774</definedName>
    <definedName name="z_GKCC7G0131_MO_OS_EncompassAuto_1">Model!$414:$414</definedName>
    <definedName name="z_GKCC7G0131_MO_OS_EncompassAutonetwrittenpremiums">Model!$381:$381</definedName>
    <definedName name="z_GKCC7G0131_MO_OS_EncompassBrandAutoExpenses">Model!$517:$517</definedName>
    <definedName name="z_GKCC7G0131_MO_OS_EncompassBrandAutoIncurredlosses">Model!$513:$513</definedName>
    <definedName name="z_GKCC7G0131_MO_OS_EncompassBrandAutoNetpremiumsearned">Model!$505:$505</definedName>
    <definedName name="z_GKCC7G0131_MO_OS_EncompassBrandAutoOtherrevenue">Model!$509:$509</definedName>
    <definedName name="z_GKCC7G0131_MO_OS_EncompassBrandAutoUnderwritingIncomeLoss">Model!$521:$521</definedName>
    <definedName name="z_GKCC7G0131_MO_OS_EncompassBrandCombinedratio_1">Model!$528:$528</definedName>
    <definedName name="z_GKCC7G0131_MO_OS_EncompassBrandEffectofcatastrophelosses">Model!$529:$529</definedName>
    <definedName name="z_GKCC7G0131_MO_OS_EncompassBrandEffectofprioryearnoncatastrophereservereestimates">Model!$530:$530</definedName>
    <definedName name="z_GKCC7G0131_MO_OS_EncompassBrandExpenseratio">Model!$527:$527</definedName>
    <definedName name="z_GKCC7G0131_MO_OS_EncompassBrandExpenses">Model!$520:$520</definedName>
    <definedName name="z_GKCC7G0131_MO_OS_EncompassBrandHomeownersExpenses">Model!$518:$518</definedName>
    <definedName name="z_GKCC7G0131_MO_OS_EncompassBrandHomeownersIncurredlosses">Model!$514:$514</definedName>
    <definedName name="z_GKCC7G0131_MO_OS_EncompassBrandHomeownersNetpremiumsearned">Model!$506:$506</definedName>
    <definedName name="z_GKCC7G0131_MO_OS_EncompassBrandHomeownersOtherrevenue">Model!$510:$510</definedName>
    <definedName name="z_GKCC7G0131_MO_OS_EncompassBrandHomeownersUnderwritingIncomeLoss">Model!$522:$522</definedName>
    <definedName name="z_GKCC7G0131_MO_OS_EncompassBrandIncurredlosses">Model!$516:$516</definedName>
    <definedName name="z_GKCC7G0131_MO_OS_EncompassBrandLossratio">Model!$526:$526</definedName>
    <definedName name="z_GKCC7G0131_MO_OS_EncompassBrandNetpremiumsearned">Model!$508:$508</definedName>
    <definedName name="z_GKCC7G0131_MO_OS_EncompassBrandOtherpersonallinesExpenses">Model!$519:$519</definedName>
    <definedName name="z_GKCC7G0131_MO_OS_EncompassBrandOtherpersonallinesIncurredlosses">Model!$515:$515</definedName>
    <definedName name="z_GKCC7G0131_MO_OS_EncompassBrandOtherpersonallinesNetpremiumsearned">Model!$507:$507</definedName>
    <definedName name="z_GKCC7G0131_MO_OS_EncompassBrandOtherpersonallinesOtherrevenue">Model!$511:$511</definedName>
    <definedName name="z_GKCC7G0131_MO_OS_EncompassBrandOtherpersonallinesUnderwritingIncomeLoss">Model!$523:$523</definedName>
    <definedName name="z_GKCC7G0131_MO_OS_EncompassBrandOtherrevenue_1">Model!$512:$512</definedName>
    <definedName name="z_GKCC7G0131_MO_OS_EncompassBrandUnderlyingCombinedratio">Model!$531:$531</definedName>
    <definedName name="z_GKCC7G0131_MO_OS_EncompassBrandUnderwritingIncomeLoss">Model!$524:$524</definedName>
    <definedName name="z_GKCC7G0131_MO_OS_EncompassHomeowners_1">Model!$415:$415</definedName>
    <definedName name="z_GKCC7G0131_MO_OS_EncompassHomeownersnetwrittenpremiums">Model!$382:$382</definedName>
    <definedName name="z_GKCC7G0131_MO_OS_EncompassOtherpersonallines_1">Model!$416:$416</definedName>
    <definedName name="z_GKCC7G0131_MO_OS_EncompassOtherpersonallinesnetwrittenpremiums">Model!$383:$383</definedName>
    <definedName name="z_GKCC7G0131_MO_OS_EncompassPoliciesinForce">Model!$417:$417</definedName>
    <definedName name="z_GKCC7G0131_MO_OS_EoPCommonStockOutstandingexclrestrictedstockawards">Model!$716:$716</definedName>
    <definedName name="z_GKCC7G0131_MO_OS_EoPRestrictedShareAwards">Model!$715:$715</definedName>
    <definedName name="z_GKCC7G0131_MO_OS_EoPTotalDilutedCommonStockOutstanding">Model!$730:$730</definedName>
    <definedName name="z_GKCC7G0131_MO_OS_EstimatedSharePriceforIssuanceBuybacks">Model!$771:$771</definedName>
    <definedName name="z_GKCC7G0131_MO_OS_EsuranceAuto_1">Model!$410:$410</definedName>
    <definedName name="z_GKCC7G0131_MO_OS_EsuranceAutonetwrittenpremiums">Model!$377:$377</definedName>
    <definedName name="z_GKCC7G0131_MO_OS_EsuranceBrandAutoExpenses">Model!$486:$486</definedName>
    <definedName name="z_GKCC7G0131_MO_OS_EsuranceBrandAutoIncurredlosses">Model!$482:$482</definedName>
    <definedName name="z_GKCC7G0131_MO_OS_EsuranceBrandAutoNetpremiumsearned">Model!$476:$476</definedName>
    <definedName name="z_GKCC7G0131_MO_OS_EsuranceBrandAutoOtherrevenue">Model!$480:$480</definedName>
    <definedName name="z_GKCC7G0131_MO_OS_EsuranceBrandAutoUnderwritingIncomeLoss">Model!$490:$490</definedName>
    <definedName name="z_GKCC7G0131_MO_OS_EsuranceBrandCombinedratio">Model!$497:$497</definedName>
    <definedName name="z_GKCC7G0131_MO_OS_EsuranceBrandEffectofamortizationofpurchasedintangibles">Model!$500:$500</definedName>
    <definedName name="z_GKCC7G0131_MO_OS_EsuranceBrandEffectofcatastrophelosses">Model!$498:$498</definedName>
    <definedName name="z_GKCC7G0131_MO_OS_EsuranceBrandEffectofimpairmentofpurchasedintangibles">Model!$501:$501</definedName>
    <definedName name="z_GKCC7G0131_MO_OS_EsuranceBrandEffectofprioryearnoncatastrophereservereestimates">Model!$499:$499</definedName>
    <definedName name="z_GKCC7G0131_MO_OS_EsuranceBrandExpenseratio">Model!$496:$496</definedName>
    <definedName name="z_GKCC7G0131_MO_OS_EsuranceBrandExpenses">Model!$489:$489</definedName>
    <definedName name="z_GKCC7G0131_MO_OS_EsuranceBrandHomeownersExpenses">Model!$487:$487</definedName>
    <definedName name="z_GKCC7G0131_MO_OS_EsuranceBrandHomeownersIncurredlosses">Model!$483:$483</definedName>
    <definedName name="z_GKCC7G0131_MO_OS_EsuranceBrandHomeownersNetpremiumsearned">Model!$477:$477</definedName>
    <definedName name="z_GKCC7G0131_MO_OS_EsuranceBrandHomeownersUnderwritingIncomeLoss">Model!$491:$491</definedName>
    <definedName name="z_GKCC7G0131_MO_OS_EsuranceBrandIncurredlosses">Model!$485:$485</definedName>
    <definedName name="z_GKCC7G0131_MO_OS_EsuranceBrandLossratio">Model!$495:$495</definedName>
    <definedName name="z_GKCC7G0131_MO_OS_EsuranceBrandNetpremiumsearned">Model!$479:$479</definedName>
    <definedName name="z_GKCC7G0131_MO_OS_EsuranceBrandOtherpersonallinesExpenses">Model!$488:$488</definedName>
    <definedName name="z_GKCC7G0131_MO_OS_EsuranceBrandOtherpersonallinesIncurredlosses">Model!$484:$484</definedName>
    <definedName name="z_GKCC7G0131_MO_OS_EsuranceBrandOtherpersonallinesNetpremiumsearned">Model!$478:$478</definedName>
    <definedName name="z_GKCC7G0131_MO_OS_EsuranceBrandOtherpersonallinesUnderwritingIncomeLoss">Model!$492:$492</definedName>
    <definedName name="z_GKCC7G0131_MO_OS_EsuranceBrandOtherrevenue_1">Model!$481:$481</definedName>
    <definedName name="z_GKCC7G0131_MO_OS_EsuranceBrandUnderlyingCombinedratio">Model!$502:$502</definedName>
    <definedName name="z_GKCC7G0131_MO_OS_EsuranceBrandUnderwritingIncomeLoss">Model!$493:$493</definedName>
    <definedName name="z_GKCC7G0131_MO_OS_EsuranceHomeowners_1">Model!$411:$411</definedName>
    <definedName name="z_GKCC7G0131_MO_OS_EsuranceHomeownersnetwrittenpremiums">Model!$378:$378</definedName>
    <definedName name="z_GKCC7G0131_MO_OS_EsuranceOtherpersonallines_1">Model!$412:$412</definedName>
    <definedName name="z_GKCC7G0131_MO_OS_EsuranceOtherpersonallinesnetwrittenpremiums">Model!$379:$379</definedName>
    <definedName name="z_GKCC7G0131_MO_OS_EsurancePoliciesinForce">Model!$413:$413</definedName>
    <definedName name="z_GKCC7G0131_MO_OS_FullTimeEmployees">Model!$430:$430</definedName>
    <definedName name="z_GKCC7G0131_MO_OS_GrossLossReserves">Model!$343:$343</definedName>
    <definedName name="z_GKCC7G0131_MO_OS_InterestCreditedasofAvgContractholderFundsAnnualized">Model!$562:$562</definedName>
    <definedName name="z_GKCC7G0131_MO_OS_InterestCreditedasofAvgContractholderFundsAnnualized_1">Model!$296:$296</definedName>
    <definedName name="z_GKCC7G0131_MO_OS_InterestCreditedasofAvgContractholderFundsAnnualized_2">Model!$598:$598</definedName>
    <definedName name="z_GKCC7G0131_MO_OS_InterestExpense">Model!$773:$773</definedName>
    <definedName name="z_GKCC7G0131_MO_OS_Intersegmenteliminations">Model!$36:$36</definedName>
    <definedName name="z_GKCC7G0131_MO_OS_Landlord">Model!$397:$397</definedName>
    <definedName name="z_GKCC7G0131_MO_OS_Longtermdebt">Model!$762:$762</definedName>
    <definedName name="z_GKCC7G0131_MO_OS_LossandLAEIncurred">Model!$347:$347</definedName>
    <definedName name="z_GKCC7G0131_MO_OS_LossandLAEPaidImplied">Model!$348:$348</definedName>
    <definedName name="z_GKCC7G0131_MO_OS_LossPayoutRatio">Model!$351:$351</definedName>
    <definedName name="z_GKCC7G0131_MO_OS_NetDebtIssuanceRepayment">Model!$769:$769</definedName>
    <definedName name="z_GKCC7G0131_MO_OS_NetInvestmentGains">Model!$368:$368</definedName>
    <definedName name="z_GKCC7G0131_MO_OS_NetInvestmentIncome">Model!$366:$366</definedName>
    <definedName name="z_GKCC7G0131_MO_OS_NetInvestmentIncomeYieldAnnualized">Model!$364:$364</definedName>
    <definedName name="z_GKCC7G0131_MO_OS_NetLossReserves">Model!$345:$345</definedName>
    <definedName name="z_GKCC7G0131_MO_OS_NetShareIssuanceBuybacks">Model!$770:$770</definedName>
    <definedName name="z_GKCC7G0131_MO_OS_NetUnearnedPremiumReserves">Model!$338:$338</definedName>
    <definedName name="z_GKCC7G0131_MO_OS_Other_10">Model!$400:$400</definedName>
    <definedName name="z_GKCC7G0131_MO_OS_OtherProtectionServicesnetwrittenpremiums">Model!$389:$389</definedName>
    <definedName name="z_GKCC7G0131_MO_OS_PartTimeEmployees">Model!$431:$431</definedName>
    <definedName name="z_GKCC7G0131_MO_OS_PercentageofTotalWrittenPremiumsEarned">Model!$134:$134</definedName>
    <definedName name="z_GKCC7G0131_MO_OS_PremiumsandContractChargesasofAvgContractholderFundsAnnualized">Model!$561:$561</definedName>
    <definedName name="z_GKCC7G0131_MO_OS_PremiumsandContractChargesasofAvgContractholderFundsAnnualized_1">Model!$295:$295</definedName>
    <definedName name="z_GKCC7G0131_MO_OS_PropertyLiabilityAmortizationofdeferredpolicyacquisitioncosts">Model!$189:$189</definedName>
    <definedName name="z_GKCC7G0131_MO_OS_PropertyLiabilityAmortizationofpurchasedintangibleassets">Model!$203:$203</definedName>
    <definedName name="z_GKCC7G0131_MO_OS_PropertyLiabilityAmortizationofpurchasedintangibleassetsaftertax">Model!$205:$205</definedName>
    <definedName name="z_GKCC7G0131_MO_OS_PropertyLiabilityChangeinaccountingforinvestmentsinqualifiedaffordablehousingprojectsaftertax">Model!$200:$200</definedName>
    <definedName name="z_GKCC7G0131_MO_OS_PropertyLiabilityClaimsandclaimsexpense">Model!$187:$187</definedName>
    <definedName name="z_GKCC7G0131_MO_OS_PropertyLiabilityCombinedratio_2">Model!$210:$210</definedName>
    <definedName name="z_GKCC7G0131_MO_OS_PropertyLiabilitycombinedratioexclprioryearreserves">Model!$177:$177</definedName>
    <definedName name="z_GKCC7G0131_MO_OS_PropertyLiabilityDecreaseincreaseinunearnedpremiums">Model!$183:$183</definedName>
    <definedName name="z_GKCC7G0131_MO_OS_PropertyLiabilityEBTimplied">Model!$196:$196</definedName>
    <definedName name="z_GKCC7G0131_MO_OS_PropertyLiabilityEffectofcatastrophelosses_1">Model!$211:$211</definedName>
    <definedName name="z_GKCC7G0131_MO_OS_PropertyLiabilityEffectofcatastrophelossesincludedinprioryearreservereestimates">"Deleted"</definedName>
    <definedName name="z_GKCC7G0131_MO_OS_PropertyLiabilityEffectofimpairmentofpurchasedintangibles">Model!$213:$213</definedName>
    <definedName name="z_GKCC7G0131_MO_OS_PropertyLiabilityEffectofprioryearnoncatastrophereservereestimates_1">Model!$212:$212</definedName>
    <definedName name="z_GKCC7G0131_MO_OS_PropertyLiabilityEffectofrestructuringandrelatedcharges">"Deleted"</definedName>
    <definedName name="z_GKCC7G0131_MO_OS_PropertyLiabilityExpenseratio">Model!$209:$209</definedName>
    <definedName name="z_GKCC7G0131_MO_OS_PropertyLiabilityGainondispositionofoperationsaftertax">Model!$199:$199</definedName>
    <definedName name="z_GKCC7G0131_MO_OS_PropertyLiabilityImpairmentofpurchasedintangibles">Model!$192:$192</definedName>
    <definedName name="z_GKCC7G0131_MO_OS_PropertyLiabilityIncometaxexpenseonoperations">Model!$197:$197</definedName>
    <definedName name="z_GKCC7G0131_MO_OS_PropertyLiabilityInvestmentsAvgofPeriod">Model!$220:$220</definedName>
    <definedName name="z_GKCC7G0131_MO_OS_PropertyLiabilityInvestmentsBeginningofPeriod">Model!$217:$217</definedName>
    <definedName name="z_GKCC7G0131_MO_OS_PropertyLiabilityInvestmentsChange">Model!$218:$218</definedName>
    <definedName name="z_GKCC7G0131_MO_OS_PropertyLiabilityInvestmentsEndofPeriod">Model!$219:$219</definedName>
    <definedName name="z_GKCC7G0131_MO_OS_PropertyLiabilityInvestmentsEndofPeriod_1">Model!$354:$354</definedName>
    <definedName name="z_GKCC7G0131_MO_OS_PropertyLiabilityLossratio">Model!$208:$208</definedName>
    <definedName name="z_GKCC7G0131_MO_OS_PropertyLiabilitynetcededpremiums">Model!$54:$54</definedName>
    <definedName name="z_GKCC7G0131_MO_OS_PropertyLiabilitynetearnedpremiums">Model!$63:$63</definedName>
    <definedName name="z_GKCC7G0131_MO_OS_PropertyLiabilityNetincomeapplicabletocommonshareholders">Model!$206:$206</definedName>
    <definedName name="z_GKCC7G0131_MO_OS_PropertyLiabilityNetinvestmentincome">Model!$194:$194</definedName>
    <definedName name="z_GKCC7G0131_MO_OS_PropertyLiabilityNetInvestmentIncomeYieldAnnualized">Model!$223:$223</definedName>
    <definedName name="z_GKCC7G0131_MO_OS_PropertyLiabilitynetwrittenpremiums">Model!$45:$45</definedName>
    <definedName name="z_GKCC7G0131_MO_OS_PropertyLiabilitynetwrittenpremiums_1">Model!$385:$385</definedName>
    <definedName name="z_GKCC7G0131_MO_OS_PropertyLiabilityOperatingcostsandexpenses">Model!$190:$190</definedName>
    <definedName name="z_GKCC7G0131_MO_OS_PropertyLiabilityOther_3">Model!$184:$184</definedName>
    <definedName name="z_GKCC7G0131_MO_OS_PropertyLiabilityotheroperatingexpense">Model!$103:$103</definedName>
    <definedName name="z_GKCC7G0131_MO_OS_PropertyLiabilityOtherrevenue_1">Model!$186:$186</definedName>
    <definedName name="z_GKCC7G0131_MO_OS_PropertyLiabilityPeriodicsettlementsandaccrualsonnonhedgederivativeinstruments">Model!$202:$202</definedName>
    <definedName name="z_GKCC7G0131_MO_OS_PropertyLiabilityPremiumsearned">Model!$185:$185</definedName>
    <definedName name="z_GKCC7G0131_MO_OS_PropertyLiabilityPremiumswritten">Model!$182:$182</definedName>
    <definedName name="z_GKCC7G0131_MO_OS_PropertyLiabilityRealizedcapitalgainsandlosses">Model!$195:$195</definedName>
    <definedName name="z_GKCC7G0131_MO_OS_PropertyLiabilityRealizedcapitalgainslossesaftertax">Model!$198:$198</definedName>
    <definedName name="z_GKCC7G0131_MO_OS_PropertyLiabilityReclassificationofperiodicsettlementsandaccrualsonnonhedgederivativeinstrumentsaftertax">Model!$204:$204</definedName>
    <definedName name="z_GKCC7G0131_MO_OS_PropertyLiabilityRestructuringandrelatedcharges">Model!$191:$191</definedName>
    <definedName name="z_GKCC7G0131_MO_OS_PropertyLiabilityShelterinPlacePaybackexpense">Model!$188:$188</definedName>
    <definedName name="z_GKCC7G0131_MO_OS_PropertyLiabilityTaxLegislationexpense">Model!$201:$201</definedName>
    <definedName name="z_GKCC7G0131_MO_OS_PropertyLiabilityTotalRevenue">Model!$30:$30</definedName>
    <definedName name="z_GKCC7G0131_MO_OS_PropertyLiabilityUnderlyingcombinedratio">Model!$214:$214</definedName>
    <definedName name="z_GKCC7G0131_MO_OS_propertyliabilityunderwritingincome">Model!$122:$122</definedName>
    <definedName name="z_GKCC7G0131_MO_OS_PropertyLiabilityUnderwritingincome_2">Model!$193:$193</definedName>
    <definedName name="z_GKCC7G0131_MO_OS_ProtectionServicesNetincomeattributabletoNCI">Model!$243:$243</definedName>
    <definedName name="z_GKCC7G0131_MO_OS_QQbasicshareexpansionEoP">Model!$721:$721</definedName>
    <definedName name="z_GKCC7G0131_MO_OS_QQbasicshareexpansionfromdilutivesecurities">Model!$717:$717</definedName>
    <definedName name="z_GKCC7G0131_MO_OS_QQbasicshareexpansionfromshareissuancebuyback">Model!$719:$719</definedName>
    <definedName name="z_GKCC7G0131_MO_OS_ReinsuranceRecoverable">Model!$344:$344</definedName>
    <definedName name="z_GKCC7G0131_MO_OS_Renters">Model!$398:$398</definedName>
    <definedName name="z_GKCC7G0131_MO_OS_ServiceBusinessesAdjustednetincome">Model!$250:$250</definedName>
    <definedName name="z_GKCC7G0131_MO_OS_ServiceBusinessesAllstateDealerServices">Model!$419:$419</definedName>
    <definedName name="z_GKCC7G0131_MO_OS_ServiceBusinessesAllstateIdentityProtection">Model!$421:$421</definedName>
    <definedName name="z_GKCC7G0131_MO_OS_ServiceBusinessesAllstateProtectionPlans">Model!$418:$418</definedName>
    <definedName name="z_GKCC7G0131_MO_OS_ServiceBusinessesAllstateRoadsideServices">Model!$420:$420</definedName>
    <definedName name="z_GKCC7G0131_MO_OS_ServiceBusinessesamortizationofDACratio">Model!$256:$256</definedName>
    <definedName name="z_GKCC7G0131_MO_OS_ServiceBusinessesAmortizationofdeferredpolicyacquisitioncosts">Model!$237:$237</definedName>
    <definedName name="z_GKCC7G0131_MO_OS_ServiceBusinessesAmortizationofpurchasedintangibles">Model!$240:$240</definedName>
    <definedName name="z_GKCC7G0131_MO_OS_ServiceBusinessesAmortizationofpurchasedintangiblesaftertax">Model!$247:$247</definedName>
    <definedName name="z_GKCC7G0131_MO_OS_ServiceBusinessesClaimsandclaimsexpense">Model!$236:$236</definedName>
    <definedName name="z_GKCC7G0131_MO_OS_ServiceBusinessesCombinedratio">Model!$258:$258</definedName>
    <definedName name="z_GKCC7G0131_MO_OS_ServiceBusinessesEBT">Model!$242:$242</definedName>
    <definedName name="z_GKCC7G0131_MO_OS_ServiceBusinessesImpairmentofpurchasedintangibles">Model!$241:$241</definedName>
    <definedName name="z_GKCC7G0131_MO_OS_ServiceBusinessesImpairmentofpurchasedintangiblesaftertax">Model!$248:$248</definedName>
    <definedName name="z_GKCC7G0131_MO_OS_ServiceBusinessesIncometaxbenefitexpense">Model!$244:$244</definedName>
    <definedName name="z_GKCC7G0131_MO_OS_ServiceBusinessesIntersegmentinsurancepremiumsandservicefees">Model!$232:$232</definedName>
    <definedName name="z_GKCC7G0131_MO_OS_ServiceBusinessesInvestmentsAvgofPeriod">Model!$264:$264</definedName>
    <definedName name="z_GKCC7G0131_MO_OS_ServiceBusinessesInvestmentsBeginningofPeriod">Model!$261:$261</definedName>
    <definedName name="z_GKCC7G0131_MO_OS_ServiceBusinessesInvestmentsChange">Model!$262:$262</definedName>
    <definedName name="z_GKCC7G0131_MO_OS_ServiceBusinessesInvestmentsEndofPeriod">Model!$263:$263</definedName>
    <definedName name="z_GKCC7G0131_MO_OS_ServiceBusinessesInvestmentsEndofPeriod_1">Model!$355:$355</definedName>
    <definedName name="z_GKCC7G0131_MO_OS_ServiceBusinesseslossandLAEratio">Model!$255:$255</definedName>
    <definedName name="z_GKCC7G0131_MO_OS_ServiceBusinessesNetinvestmentincome">Model!$233:$233</definedName>
    <definedName name="z_GKCC7G0131_MO_OS_ServiceBusinessesNetInvestmentIncomeYieldAnnualized">Model!$267:$267</definedName>
    <definedName name="z_GKCC7G0131_MO_OS_ServiceBusinessesNetlossapplicabletocommonshareholders">Model!$245:$245</definedName>
    <definedName name="z_GKCC7G0131_MO_OS_ServiceBusinessesNetpremiumsearned">Model!$230:$230</definedName>
    <definedName name="z_GKCC7G0131_MO_OS_ServiceBusinessesNetpremiumswritten">Model!$226:$226</definedName>
    <definedName name="z_GKCC7G0131_MO_OS_ServiceBusinessesnetwrittenpremiums_1">Model!$390:$390</definedName>
    <definedName name="z_GKCC7G0131_MO_OS_ServiceBusinessesOperatingcostsandexpenses">Model!$238:$238</definedName>
    <definedName name="z_GKCC7G0131_MO_OS_ServiceBusinessesotheroperatingexpenseratio">Model!$257:$257</definedName>
    <definedName name="z_GKCC7G0131_MO_OS_ServiceBusinessesOtherProtectionServices">Model!$422:$422</definedName>
    <definedName name="z_GKCC7G0131_MO_OS_ServiceBusinessesOtherrevenue_1">Model!$231:$231</definedName>
    <definedName name="z_GKCC7G0131_MO_OS_ServiceBusinessespercentageofwrittenpremiumsearned">Model!$228:$228</definedName>
    <definedName name="z_GKCC7G0131_MO_OS_ServiceBusinessesPoliciesinForce">Model!$423:$423</definedName>
    <definedName name="z_GKCC7G0131_MO_OS_ServiceBusinessesRealizedcapitalgainslosses">Model!$234:$234</definedName>
    <definedName name="z_GKCC7G0131_MO_OS_ServiceBusinessesRealizedcapitalgainslossesaftertax">Model!$246:$246</definedName>
    <definedName name="z_GKCC7G0131_MO_OS_ServiceBusinessesRestructuringandrelatedcharges">Model!$239:$239</definedName>
    <definedName name="z_GKCC7G0131_MO_OS_ServiceBusinessesTaxLegislationexpense">Model!$249:$249</definedName>
    <definedName name="z_GKCC7G0131_MO_OS_ServiceBusinessesTotalRevenue">Model!$31:$31</definedName>
    <definedName name="z_GKCC7G0131_MO_OS_ServiceBusinessesTotalRevenue_1">Model!$235:$235</definedName>
    <definedName name="z_GKCC7G0131_MO_OS_Shorttermdebt">Model!$761:$761</definedName>
    <definedName name="z_GKCC7G0131_MO_OS_TotalAllstatenetwrittenpremiums">Model!$376:$376</definedName>
    <definedName name="z_GKCC7G0131_MO_OS_TotalCapitalization">Model!$765:$765</definedName>
    <definedName name="z_GKCC7G0131_MO_OS_TotalCombinedRatio">Model!$178:$178</definedName>
    <definedName name="z_GKCC7G0131_MO_OS_TotalConsolidatedRevenues">Model!$37:$37</definedName>
    <definedName name="z_GKCC7G0131_MO_OS_TotalDebt">Model!$763:$763</definedName>
    <definedName name="z_GKCC7G0131_MO_OS_TotalEmployees">Model!$432:$432</definedName>
    <definedName name="z_GKCC7G0131_MO_OS_TotalEncompassnetwrittenpremiums">Model!$384:$384</definedName>
    <definedName name="z_GKCC7G0131_MO_OS_TotalEsurancenetwrittenpremiums">Model!$380:$380</definedName>
    <definedName name="z_GKCC7G0131_MO_OS_totalinvestments">Model!$360:$360</definedName>
    <definedName name="z_GKCC7G0131_MO_OS_TotalInvestmentsAvgBalance">Model!$361:$361</definedName>
    <definedName name="z_GKCC7G0131_MO_OS_totalinvestmentsavgbalancegrowth">Model!$362:$362</definedName>
    <definedName name="z_GKCC7G0131_MO_OS_TotalLossandLAE">Model!$95:$95</definedName>
    <definedName name="z_GKCC7G0131_MO_OS_TotalLossandLAERatio">Model!$162:$162</definedName>
    <definedName name="z_GKCC7G0131_MO_OS_TotalNetCededPremiums">Model!$56:$56</definedName>
    <definedName name="z_GKCC7G0131_MO_OS_TotalNetEarnedPremiums_1">Model!$65:$65</definedName>
    <definedName name="z_GKCC7G0131_MO_OS_TotalNetEarnedPremiumsGrowth">Model!$19:$19</definedName>
    <definedName name="z_GKCC7G0131_MO_OS_TotalNetWrittenPremiums_1">Model!$47:$47</definedName>
    <definedName name="z_GKCC7G0131_MO_OS_totalnetwrittenpremiumsgrowth">Model!$12:$12</definedName>
    <definedName name="z_GKCC7G0131_MO_OS_TotalOtherOperatingExpense">Model!$105:$105</definedName>
    <definedName name="z_GKCC7G0131_MO_OS_TotalOtherOperatingExpenseRatio">Model!$170:$170</definedName>
    <definedName name="z_GKCC7G0131_MO_OS_TotalPoliciesinForce">Model!$427:$427</definedName>
    <definedName name="z_GKCC7G0131_MO_OS_TotalPremiumsWritten">Model!$392:$392</definedName>
    <definedName name="z_GKCC7G0131_MO_OS_TotalPropertyLiabilityLossandLAEexclCATSPYD">Model!$96:$96</definedName>
    <definedName name="z_GKCC7G0131_MO_OS_TotalShareholdersEquity">Model!$764:$764</definedName>
    <definedName name="z_GKCC7G0131_MO_OS_TotalUnderwritingExpense">Model!$114:$114</definedName>
    <definedName name="z_GKCC7G0131_MO_OS_TotalUnderwritingIncome">Model!$124:$124</definedName>
    <definedName name="z_GKCC7G0131_MO_OS_TotalUnderwritingIncomeGrowth">Model!$20:$20</definedName>
    <definedName name="z_GKCC7G0131_MO_OS_YYbasicshareexpansionEoP">Model!$722:$722</definedName>
    <definedName name="z_GKCC7G0131_MO_OS_YYbasicshareexpansionfromdilutivesecurities">Model!$718:$718</definedName>
    <definedName name="z_GKCC7G0131_MO_OS_YYbasicshareexpansionfromshareissuancebuyback">Model!$720:$720</definedName>
    <definedName name="z_GKCC7G0131_MO_RIS_AdjustedEarningsPerShareWAD">Model!$706:$706</definedName>
    <definedName name="z_GKCC7G0131_MO_RIS_AdjustedNetIncome">Model!$699:$699</definedName>
    <definedName name="z_GKCC7G0131_MO_RIS_AdjustedSharesOutstandingWAD">Model!$711:$711</definedName>
    <definedName name="z_GKCC7G0131_MO_RIS_AdjustmentsforConvertibleSecurities">Model!$695:$695</definedName>
    <definedName name="z_GKCC7G0131_MO_RIS_consensusestimatesadjustedearningspersharewad">Model!$707:$707</definedName>
    <definedName name="z_GKCC7G0131_MO_RIS_consensusestimatesebt">Model!$685:$685</definedName>
    <definedName name="z_GKCC7G0131_MO_RIS_consensusestimatesnetrevenue">Model!$677:$677</definedName>
    <definedName name="z_GKCC7G0131_MO_RIS_CurrentTax">Model!$687:$687</definedName>
    <definedName name="z_GKCC7G0131_MO_RIS_CurrentTaxRate">Model!$701:$701</definedName>
    <definedName name="z_GKCC7G0131_MO_RIS_DeferredTax">Model!$688:$688</definedName>
    <definedName name="z_GKCC7G0131_MO_RIS_DeferredTaxRate">Model!$702:$702</definedName>
    <definedName name="z_GKCC7G0131_MO_RIS_DilutedNetIncometoCommonShareholders">Model!$696:$696</definedName>
    <definedName name="z_GKCC7G0131_MO_RIS_DiscontinuedOperations">Model!$691:$691</definedName>
    <definedName name="z_GKCC7G0131_MO_RIS_EarningsfromEquityInvestments">Model!$690:$690</definedName>
    <definedName name="z_GKCC7G0131_MO_RIS_EarningsPerShareWAB">Model!$704:$704</definedName>
    <definedName name="z_GKCC7G0131_MO_RIS_EarningsPerShareWAD">Model!$705:$705</definedName>
    <definedName name="z_GKCC7G0131_MO_RIS_EarningstoPreferredandOtherSecurities">Model!$693:$693</definedName>
    <definedName name="z_GKCC7G0131_MO_RIS_EBT">Model!$684:$684</definedName>
    <definedName name="z_GKCC7G0131_MO_RIS_InterestExpense">Model!$681:$681</definedName>
    <definedName name="z_GKCC7G0131_MO_RIS_LossandLAE">Model!$679:$679</definedName>
    <definedName name="z_GKCC7G0131_MO_RIS_NetEarnedPremiums">Model!$672:$672</definedName>
    <definedName name="z_GKCC7G0131_MO_RIS_NetIncomefromContinuedOperation">Model!$689:$689</definedName>
    <definedName name="z_GKCC7G0131_MO_RIS_NetIncometoCommonShareholders">Model!$694:$694</definedName>
    <definedName name="z_GKCC7G0131_MO_RIS_NetIncometoNCI">Model!$692:$692</definedName>
    <definedName name="z_GKCC7G0131_MO_RIS_NetInvestmentGains">Model!$674:$674</definedName>
    <definedName name="z_GKCC7G0131_MO_RIS_NetInvestmentIncome">Model!$673:$673</definedName>
    <definedName name="z_GKCC7G0131_MO_RIS_NetRevenue">Model!$676:$676</definedName>
    <definedName name="z_GKCC7G0131_MO_RIS_NonGAAPAdjustments">Model!$697:$697</definedName>
    <definedName name="z_GKCC7G0131_MO_RIS_NonGAAPAdjustmentsforDilutiveSecurities">Model!$698:$698</definedName>
    <definedName name="z_GKCC7G0131_MO_RIS_OnetimeItems">Model!$683:$683</definedName>
    <definedName name="z_GKCC7G0131_MO_RIS_OtherIncome">Model!$675:$675</definedName>
    <definedName name="z_GKCC7G0131_MO_RIS_OtherItems">Model!$682:$682</definedName>
    <definedName name="z_GKCC7G0131_MO_RIS_OtherOperatingExpense">Model!$680:$680</definedName>
    <definedName name="z_GKCC7G0131_MO_RIS_SharesOutstandingEoPB">Model!$714:$714</definedName>
    <definedName name="z_GKCC7G0131_MO_RIS_SharesOutstandingWAB">Model!$709:$709</definedName>
    <definedName name="z_GKCC7G0131_MO_RIS_SharesOutstandingWAD">Model!$710:$710</definedName>
    <definedName name="z_GKCC7G0131_MO_Section_AN_AdjustedNumbers">Model!$645:$645</definedName>
    <definedName name="z_GKCC7G0131_MO_Section_BS_BalanceSheet">Model!$941:$941</definedName>
    <definedName name="z_GKCC7G0131_MO_Section_BSS_BalanceSheetSummary">Model!$738:$738</definedName>
    <definedName name="z_GKCC7G0131_MO_Section_CCFS_CumulativeCashFlowStatement">Model!$795:$795</definedName>
    <definedName name="z_GKCC7G0131_MO_Section_CFS_CashFlowStatement">Model!$867:$867</definedName>
    <definedName name="z_GKCC7G0131_MO_Section_DS_DividendSummary">Model!$732:$732</definedName>
    <definedName name="z_GKCC7G0131_MO_Section_GA_GrowthAnalysis">Model!$6:$6</definedName>
    <definedName name="z_GKCC7G0131_MO_Section_IS_IncomeStatement">Model!$608:$608</definedName>
    <definedName name="z_GKCC7G0131_MO_Section_MC_ModelChecks">Model!$990:$990</definedName>
    <definedName name="z_GKCC7G0131_MO_Section_OS_CapitalResources">Model!$760:$760</definedName>
    <definedName name="z_GKCC7G0131_MO_Section_OS_ContractholderFundsInvestmentsAllstateAnnuitiesFS">Model!$588:$588</definedName>
    <definedName name="z_GKCC7G0131_MO_Section_OS_ContractholderFundsInvestmentsAllstateBenefitsFS">Model!$288:$288</definedName>
    <definedName name="z_GKCC7G0131_MO_Section_OS_ContractholderFundsInvestmentsAllstateLifeFS">Model!$554:$554</definedName>
    <definedName name="z_GKCC7G0131_MO_Section_OS_HistoricalData">Model!$434:$434</definedName>
    <definedName name="z_GKCC7G0131_MO_Section_OS_II">Model!$353:$353</definedName>
    <definedName name="z_GKCC7G0131_MO_Section_OS_InvestmentIncomeCorporateOtherFS">Model!$328:$328</definedName>
    <definedName name="z_GKCC7G0131_MO_Section_OS_InvestmentIncomePropertyLiabilityFS">Model!$216:$216</definedName>
    <definedName name="z_GKCC7G0131_MO_Section_OS_InvestmentIncomeProtectionServicesFS">Model!$260:$260</definedName>
    <definedName name="z_GKCC7G0131_MO_Section_OS_KeyMetricsEmployeesFS">Model!$429:$429</definedName>
    <definedName name="z_GKCC7G0131_MO_Section_OS_KeyMetricsPremiumsWrittenforAllstateProtectionandServiceBusinessesSupplemental">Model!$370:$370</definedName>
    <definedName name="z_GKCC7G0131_MO_Section_OS_LR">Model!$342:$342</definedName>
    <definedName name="z_GKCC7G0131_MO_Section_OS_SegmentedResultsProtectionServicesFS">Model!$225:$225</definedName>
    <definedName name="z_GKCC7G0131_MO_Section_OS_SegmentedResultsRevenueBreakdownFSSupplemental">Model!$29:$29</definedName>
    <definedName name="z_GKCC7G0131_MO_Section_OS_ShareCountAnalysis">Model!$713:$713</definedName>
    <definedName name="z_GKCC7G0131_MO_Section_OS_SIC">Model!$776:$776</definedName>
    <definedName name="z_GKCC7G0131_MO_Section_OS_SubsegmentedResultsAllstateBrandSupplemental">Model!$435:$435</definedName>
    <definedName name="z_GKCC7G0131_MO_Section_OS_SubsegmentedResultsEncompassBrandSupplemental">Model!$504:$504</definedName>
    <definedName name="z_GKCC7G0131_MO_Section_OS_SubsegmentedResultsEsuranceBrandSupplemental">Model!$475:$475</definedName>
    <definedName name="z_GKCC7G0131_MO_Section_OS_UI">Model!$39:$39</definedName>
    <definedName name="z_GKCC7G0131_MO_Section_OS_UPR">Model!$337:$337</definedName>
    <definedName name="z_GKCC7G0131_MO_Section_OS_UR">Model!$127:$127</definedName>
    <definedName name="z_GKCC7G0131_MO_Section_RIS_RevisedIncomeStatement">Model!$671:$671</definedName>
    <definedName name="z_GKCC7G0131_MO_Section_SNA_Canalyst">Model!$1154:$1154</definedName>
    <definedName name="z_GKCC7G0131_MO_Section_TB_Tables">Model!$1015:$1015</definedName>
    <definedName name="z_GKCC7G0131_MO_Section_VA_Valuation">Model!$780:$780</definedName>
    <definedName name="z_GKCC7G0131_MO_SubSection_OS_KeyMetricsPoliciesinForceSupplemental">Model!$394:$394</definedName>
    <definedName name="z_GKCC7G0131_MO_SubSection_OS_SegmentedResultsAllstateAnnuitiesSupplemental">Model!$573:$573</definedName>
    <definedName name="z_GKCC7G0131_MO_SubSection_OS_SegmentedResultsAllstateBenefitsSupplemental">Model!$269:$269</definedName>
    <definedName name="z_GKCC7G0131_MO_SubSection_OS_SegmentedResultsAllstateLifeSupplemental">Model!$533:$533</definedName>
    <definedName name="z_GKCC7G0131_MO_SubSection_OS_SegmentedResultsCorporateOtherSupplemental">Model!$307:$307</definedName>
    <definedName name="z_GKCC7G0131_MO_SubSection_OS_SegmentedResultsPropertyLiabilitySupplemental">Model!$181:$181</definedName>
    <definedName name="z_GKCC7G0131_MO_Unstructured_SNA_AdjustedEarningsPerShareWAD">Model!$1032:$1032</definedName>
    <definedName name="z_GKCC7G0131_MO_Unstructured_SNA_ALLN">Model!$1022:$1022</definedName>
    <definedName name="z_GKCC7G0131_MO_Unstructured_SNA_ALLUS">Model!$1019:$1019</definedName>
    <definedName name="z_GKCC7G0131_MO_Unstructured_SNA_ALLUS_1">Model!$1021:$1021</definedName>
    <definedName name="z_GKCC7G0131_MO_Unstructured_SNA_ALLUS_2">Model!$1018:$1018</definedName>
    <definedName name="z_GKCC7G0131_MO_Unstructured_SNA_AnnualGuidanceTable">Model!$1081:$1081</definedName>
    <definedName name="z_GKCC7G0131_MO_Unstructured_SNA_ApplicablePeriod">Model!$1078:$1078</definedName>
    <definedName name="z_GKCC7G0131_MO_Unstructured_SNA_ApplicablePeriod_1">Model!$1084:$1084</definedName>
    <definedName name="z_GKCC7G0131_MO_Unstructured_SNA_ApplyTradeCurrencyScaling">Model!$1141:$1141</definedName>
    <definedName name="z_GKCC7G0131_MO_Unstructured_SNA_Avg">Model!$1027:$1027</definedName>
    <definedName name="z_GKCC7G0131_MO_Unstructured_SNA_Bloomberg">Model!$1105:$1105</definedName>
    <definedName name="z_GKCC7G0131_MO_Unstructured_SNA_Bloomberg_1">Model!$1112:$1112</definedName>
    <definedName name="z_GKCC7G0131_MO_Unstructured_SNA_Bloomberg_2">Model!$1119:$1119</definedName>
    <definedName name="z_GKCC7G0131_MO_Unstructured_SNA_Bloomberg_3">Model!$1126:$1126</definedName>
    <definedName name="z_GKCC7G0131_MO_Unstructured_SNA_BookValueperCommonShare">Model!$1034:$1034</definedName>
    <definedName name="z_GKCC7G0131_MO_Unstructured_SNA_CapitalIQ">Model!$1106:$1106</definedName>
    <definedName name="z_GKCC7G0131_MO_Unstructured_SNA_CapitalIQ_1">Model!$1113:$1113</definedName>
    <definedName name="z_GKCC7G0131_MO_Unstructured_SNA_CapitalIQ_2">Model!$1120:$1120</definedName>
    <definedName name="z_GKCC7G0131_MO_Unstructured_SNA_CapitalIQ_3">Model!$1127:$1127</definedName>
    <definedName name="z_GKCC7G0131_MO_Unstructured_SNA_ConsensusEstimatesAdjustedEarningsPerShareWAD">Model!$1095:$1095</definedName>
    <definedName name="z_GKCC7G0131_MO_Unstructured_SNA_ConsensusEstimatesBookValueperCommonShare">Model!$1096:$1096</definedName>
    <definedName name="z_GKCC7G0131_MO_Unstructured_SNA_ConsensusEstimatesEBT">Model!$1094:$1094</definedName>
    <definedName name="z_GKCC7G0131_MO_Unstructured_SNA_ConsensusEstimatesNetRevenue">Model!$1093:$1093</definedName>
    <definedName name="z_GKCC7G0131_MO_Unstructured_SNA_ConsensusEstimatesPropertyLiabilityCombinedRatio">Model!$1092:$1092</definedName>
    <definedName name="z_GKCC7G0131_MO_Unstructured_SNA_ConsensusEstimatesReturnonAverageCommonEquity">Model!$1097:$1097</definedName>
    <definedName name="z_GKCC7G0131_MO_Unstructured_SNA_ConsensusEstimatesTotalPropertyLiabilityNetEarnedPremiums">Model!$1090:$1090</definedName>
    <definedName name="z_GKCC7G0131_MO_Unstructured_SNA_ConsensusEstimatesTotalPropertyLiabilityUnderwritingIncome">Model!$1091:$1091</definedName>
    <definedName name="z_GKCC7G0131_MO_Unstructured_SNA_ConsensusEstimateTable">Model!$1087:$1087</definedName>
    <definedName name="z_GKCC7G0131_MO_Unstructured_SNA_CurrentFiscalYear">Model!$1149:$1149</definedName>
    <definedName name="z_GKCC7G0131_MO_Unstructured_SNA_DataSourceIndex">Model!$1152:$1152</definedName>
    <definedName name="z_GKCC7G0131_MO_Unstructured_SNA_EoP">Model!$1028:$1028</definedName>
    <definedName name="z_GKCC7G0131_MO_Unstructured_SNA_FactSet">Model!$1107:$1107</definedName>
    <definedName name="z_GKCC7G0131_MO_Unstructured_SNA_FactSet_1">Model!$1114:$1114</definedName>
    <definedName name="z_GKCC7G0131_MO_Unstructured_SNA_FactSet_2">Model!$1121:$1121</definedName>
    <definedName name="z_GKCC7G0131_MO_Unstructured_SNA_FactSet_3">Model!$1128:$1128</definedName>
    <definedName name="z_GKCC7G0131_MO_Unstructured_SNA_FirstForecastFiscalYear">Model!$1150:$1150</definedName>
    <definedName name="z_GKCC7G0131_MO_Unstructured_SNA_FiscalPeriodStartDate">Model!$1101:$1101</definedName>
    <definedName name="z_GKCC7G0131_MO_Unstructured_SNA_FXAverageRealTimeOffSource">Model!$1124:$1124</definedName>
    <definedName name="z_GKCC7G0131_MO_Unstructured_SNA_FXEoP">Model!$1133:$1133</definedName>
    <definedName name="z_GKCC7G0131_MO_Unstructured_SNA_FYorFQ">Model!$1088:$1088</definedName>
    <definedName name="z_GKCC7G0131_MO_Unstructured_SNA_GeneralTable">Model!$1136:$1136</definedName>
    <definedName name="z_GKCC7G0131_MO_Unstructured_SNA_High">Model!$1025:$1025</definedName>
    <definedName name="z_GKCC7G0131_MO_Unstructured_SNA_IsHistoricalPeriod">Model!$1102:$1102</definedName>
    <definedName name="z_GKCC7G0131_MO_Unstructured_SNA_IsLatest">Model!$1083:$1083</definedName>
    <definedName name="z_GKCC7G0131_MO_Unstructured_SNA_KeyOutputs">Model!$1030:$1030</definedName>
    <definedName name="z_GKCC7G0131_MO_Unstructured_SNA_KPICount">Model!$1151:$1151</definedName>
    <definedName name="z_GKCC7G0131_MO_Unstructured_SNA_KPIData">Model!$1039:$1039</definedName>
    <definedName name="z_GKCC7G0131_MO_Unstructured_SNA_LastPrice">Model!$1137:$1137</definedName>
    <definedName name="z_GKCC7G0131_MO_Unstructured_SNA_LastPriceDate">Model!$1138:$1138</definedName>
    <definedName name="z_GKCC7G0131_MO_Unstructured_SNA_LastPriceFormula">Model!$1140:$1140</definedName>
    <definedName name="z_GKCC7G0131_MO_Unstructured_SNA_LastWorkingDayInPeriod">Model!$1131:$1131</definedName>
    <definedName name="z_GKCC7G0131_MO_Unstructured_SNA_Low">Model!$1026:$1026</definedName>
    <definedName name="z_GKCC7G0131_MO_Unstructured_SNA_MOBSSBVPS">Model!$1066:$1066</definedName>
    <definedName name="z_GKCC7G0131_MO_Unstructured_SNA_MOBSSNTR">Model!$1051:$1051</definedName>
    <definedName name="z_GKCC7G0131_MO_Unstructured_SNA_MOBSSReserveRatio">Model!$1064:$1064</definedName>
    <definedName name="z_GKCC7G0131_MO_Unstructured_SNA_MOBSSROA">Model!$1068:$1068</definedName>
    <definedName name="z_GKCC7G0131_MO_Unstructured_SNA_MOBSSROE">Model!$1069:$1069</definedName>
    <definedName name="z_GKCC7G0131_MO_Unstructured_SNA_MOBSSROTE">Model!$1070:$1070</definedName>
    <definedName name="z_GKCC7G0131_MO_Unstructured_SNA_MOBSSSolvencyRatio">Model!$1065:$1065</definedName>
    <definedName name="z_GKCC7G0131_MO_Unstructured_SNA_MOBSSTBVPS">Model!$1067:$1067</definedName>
    <definedName name="z_GKCC7G0131_MO_Unstructured_SNA_MOCRDebtToCapitalRatio">Model!$1072:$1072</definedName>
    <definedName name="z_GKCC7G0131_MO_Unstructured_SNA_MOCRTotalCapitalization">Model!$1071:$1071</definedName>
    <definedName name="z_GKCC7G0131_MO_Unstructured_SNA_ModelSheetCurrencyHardcoded">Model!$1144:$1144</definedName>
    <definedName name="z_GKCC7G0131_MO_Unstructured_SNA_MODSPayoutRatio">Model!$1073:$1073</definedName>
    <definedName name="z_GKCC7G0131_MO_Unstructured_SNA_MOKPICombinedRatio">Model!$1048:$1048</definedName>
    <definedName name="z_GKCC7G0131_MO_Unstructured_SNA_MOKPIGLR">Model!$1059:$1059</definedName>
    <definedName name="z_GKCC7G0131_MO_Unstructured_SNA_MOKPIInvestmentBalance">Model!$1049:$1049</definedName>
    <definedName name="z_GKCC7G0131_MO_Unstructured_SNA_MOKPILoss_2">Model!$1053:$1053</definedName>
    <definedName name="z_GKCC7G0131_MO_Unstructured_SNA_MOKPILossexCATS">Model!$1052:$1052</definedName>
    <definedName name="z_GKCC7G0131_MO_Unstructured_SNA_MOKPILossRatio">Model!$1047:$1047</definedName>
    <definedName name="z_GKCC7G0131_MO_Unstructured_SNA_MOKPINEP">Model!$1045:$1045</definedName>
    <definedName name="z_GKCC7G0131_MO_Unstructured_SNA_MOKPINetIG">Model!$1063:$1063</definedName>
    <definedName name="z_GKCC7G0131_MO_Unstructured_SNA_MOKPINetII_1">Model!$1062:$1062</definedName>
    <definedName name="z_GKCC7G0131_MO_Unstructured_SNA_MOKPINetIIYield">Model!$1050:$1050</definedName>
    <definedName name="z_GKCC7G0131_MO_Unstructured_SNA_MOKPINLR">Model!$1061:$1061</definedName>
    <definedName name="z_GKCC7G0131_MO_Unstructured_SNA_MOKPINUPR">Model!$1058:$1058</definedName>
    <definedName name="z_GKCC7G0131_MO_Unstructured_SNA_MOKPINWP">Model!$1044:$1044</definedName>
    <definedName name="z_GKCC7G0131_MO_Unstructured_SNA_MOKPIOOE">Model!$1054:$1054</definedName>
    <definedName name="z_GKCC7G0131_MO_Unstructured_SNA_MOKPIOOERatio">Model!$1057:$1057</definedName>
    <definedName name="z_GKCC7G0131_MO_Unstructured_SNA_MOKPIRR">Model!$1060:$1060</definedName>
    <definedName name="z_GKCC7G0131_MO_Unstructured_SNA_MOKPIUI">Model!$1046:$1046</definedName>
    <definedName name="z_GKCC7G0131_MO_Unstructured_SNA_MOKPIUnderwritingExpense">Model!$1055:$1055</definedName>
    <definedName name="z_GKCC7G0131_MO_Unstructured_SNA_MOKPIWPERatio">Model!$1056:$1056</definedName>
    <definedName name="z_GKCC7G0131_MO_Unstructured_SNA_MOOSEmployeeCount">Model!$1043:$1043</definedName>
    <definedName name="z_GKCC7G0131_MO_Unstructured_SNA_MORISEPSWADAdj">Model!$1042:$1042</definedName>
    <definedName name="z_GKCC7G0131_MO_Unstructured_SNA_MORISNINONGAAPDiluted">Model!$1041:$1041</definedName>
    <definedName name="z_GKCC7G0131_MO_Unstructured_SNA_MORISREV">Model!$1040:$1040</definedName>
    <definedName name="z_GKCC7G0131_MO_Unstructured_SNA_MostRecentFiscalPeriodMRFP">Model!$1148:$1148</definedName>
    <definedName name="z_GKCC7G0131_MO_Unstructured_SNA_MostRecentFX">Model!$1145:$1145</definedName>
    <definedName name="z_GKCC7G0131_MO_Unstructured_SNA_MostRecentFXHardcoded">Model!$1146:$1146</definedName>
    <definedName name="z_GKCC7G0131_MO_Unstructured_SNA_MRFPColumnNumber">Model!$1147:$1147</definedName>
    <definedName name="z_GKCC7G0131_MO_Unstructured_SNA_NYSEALL">Model!$1020:$1020</definedName>
    <definedName name="z_GKCC7G0131_MO_Unstructured_SNA_PBAvg">Model!$1036:$1036</definedName>
    <definedName name="z_GKCC7G0131_MO_Unstructured_SNA_PEAvg">Model!$1035:$1035</definedName>
    <definedName name="z_GKCC7G0131_MO_Unstructured_SNA_Period">Model!$1089:$1089</definedName>
    <definedName name="z_GKCC7G0131_MO_Unstructured_SNA_PropertyLiabilityCombinedRatio">Model!$1031:$1031</definedName>
    <definedName name="z_GKCC7G0131_MO_Unstructured_SNA_QuarterlyGuidanceTable">Model!$1076:$1076</definedName>
    <definedName name="z_GKCC7G0131_MO_Unstructured_SNA_RealTimeOffSource">Model!$1104:$1104</definedName>
    <definedName name="z_GKCC7G0131_MO_Unstructured_SNA_RealTimeOffSource_1">Model!$1111:$1111</definedName>
    <definedName name="z_GKCC7G0131_MO_Unstructured_SNA_RealTimeOffSource_2">Model!$1118:$1118</definedName>
    <definedName name="z_GKCC7G0131_MO_Unstructured_SNA_RealTimeOffSource_3">Model!$1125:$1125</definedName>
    <definedName name="z_GKCC7G0131_MO_Unstructured_SNA_RealTimeStockPrice">Model!$1139:$1139</definedName>
    <definedName name="z_GKCC7G0131_MO_Unstructured_SNA_Refinitiv">Model!$1108:$1108</definedName>
    <definedName name="z_GKCC7G0131_MO_Unstructured_SNA_Refinitiv_1">Model!$1115:$1115</definedName>
    <definedName name="z_GKCC7G0131_MO_Unstructured_SNA_Refinitiv_2">Model!$1122:$1122</definedName>
    <definedName name="z_GKCC7G0131_MO_Unstructured_SNA_Refinitiv_3">Model!$1129:$1129</definedName>
    <definedName name="z_GKCC7G0131_MO_Unstructured_SNA_ReportingDate">Model!$1077:$1077</definedName>
    <definedName name="z_GKCC7G0131_MO_Unstructured_SNA_ReportingDate_1">Model!$1082:$1082</definedName>
    <definedName name="z_GKCC7G0131_MO_Unstructured_SNA_ReturnonAverageCommonEquity">Model!$1033:$1033</definedName>
    <definedName name="z_GKCC7G0131_MO_Unstructured_SNA_StockAverageRealTimeOffSource">Model!$1117:$1117</definedName>
    <definedName name="z_GKCC7G0131_MO_Unstructured_SNA_StockHighRealTimeOffSource">Model!$1103:$1103</definedName>
    <definedName name="z_GKCC7G0131_MO_Unstructured_SNA_StockLowRealTimeOffSource">Model!$1110:$1110</definedName>
    <definedName name="z_GKCC7G0131_MO_Unstructured_SNA_StockPriceEoP">Model!$1132:$1132</definedName>
    <definedName name="z_GKCC7G0131_MO_Unstructured_SNA_StockPriceTable">Model!$1100:$1100</definedName>
    <definedName name="z_GKCC7G0131_MO_Unstructured_SNA_TickerSymbol">Model!$1017:$1017</definedName>
    <definedName name="z_GKCC7G0131_MO_Unstructured_SNA_TradeCurrency">Model!$1142:$1142</definedName>
    <definedName name="z_GKCC7G0131_MO_Unstructured_SNA_TradeCurrencyHardcoded">Model!$1143:$1143</definedName>
    <definedName name="z_GKCC7G0131_MO_Unstructured_SNA_ValuationToggleTable">Model!$1024:$1024</definedName>
    <definedName name="z_GKCC7G0131_MO_VA_MarketCapAverage">Model!$782:$782</definedName>
    <definedName name="z_GKCC7G0131_MO_VA_PBAverage">Model!$785:$785</definedName>
    <definedName name="z_GKCC7G0131_MO_VA_PEAverage">Model!$784:$784</definedName>
    <definedName name="z_GKCC7G0131_MO_VA_StockAvg">Model!$789:$789</definedName>
    <definedName name="z_GKCC7G0131_MO_VA_StockHigh">Model!$787:$787</definedName>
    <definedName name="z_GKCC7G0131_MO_VA_StockLow">Model!$788:$788</definedName>
    <definedName name="z_GKCC7G0131_MO_VA_StockPriceAverage">Model!$781:$781</definedName>
    <definedName name="AA.ModelColorScheme">"Classic"</definedName>
    <definedName name="AA.ColorizerVersion">"2.0.4.0"</definedName>
  </definedNames>
  <calcPr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alcChain>
</file>

<file path=xl/comments2.xml><?xml version="1.0" encoding="utf-8"?>
<comments xmlns="http://schemas.openxmlformats.org/spreadsheetml/2006/main" xmlns:mc="http://schemas.openxmlformats.org/markup-compatibility/2006" xmlns:xr="http://schemas.microsoft.com/office/spreadsheetml/2014/revision" mc:Ignorable="xr">
  <authors>
    <author>Canalyst (ATK)</author>
    <author>Tegus (RF)</author>
  </authors>
  <commentList>
    <comment ref="W2" authorId="0" shapeId="0" xr:uid="{00000000-0006-0000-0100-000001000000}">
      <text>
        <r>
          <rPr>
            <b/>
            <sz val="9"/>
            <rFont val="Tahoma"/>
            <family val="2"/>
          </rPr>
          <t>Tegus (MC):</t>
        </r>
        <r>
          <rPr>
            <sz val="9"/>
            <rFont val="Tahoma"/>
            <family val="2"/>
          </rPr>
          <t xml:space="preserve">
On January 2018, the company adopted a new accounting standard for revenue recognition. Based on the new criteria the transaction price is attributed to underlying performance obligations in the contract and revenue is recognized as the entity satisfies performance obligations and transfers control of a good or service to the customer. Incremental costs of obtaining a contract may be capitalized to the extent the entity expects to recover those costs.</t>
        </r>
      </text>
    </comment>
    <comment ref="X2" authorId="0" shapeId="0" xr:uid="{00000000-0006-0000-0100-000002000000}">
      <text>
        <r>
          <rPr>
            <b/>
            <sz val="9"/>
            <rFont val="Tahoma"/>
            <family val="2"/>
          </rPr>
          <t>Tegus (MC):</t>
        </r>
        <r>
          <rPr>
            <sz val="9"/>
            <rFont val="Tahoma"/>
            <family val="2"/>
          </rPr>
          <t xml:space="preserve">
On January 2018, the company adopted a new accounting standard for revenue recognition. Based on the new criteria the transaction price is attributed to underlying performance obligations in the contract and revenue is recognized as the entity satisfies performance obligations and transfers control of a good or service to the customer. Incremental costs of obtaining a contract may be capitalized to the extent the entity expects to recover those costs.</t>
        </r>
      </text>
    </comment>
    <comment ref="Y2" authorId="0" shapeId="0" xr:uid="{00000000-0006-0000-0100-000003000000}">
      <text>
        <r>
          <rPr>
            <b/>
            <sz val="9"/>
            <rFont val="Tahoma"/>
            <family val="2"/>
          </rPr>
          <t>Tegus (MC):</t>
        </r>
        <r>
          <rPr>
            <sz val="9"/>
            <rFont val="Tahoma"/>
            <family val="2"/>
          </rPr>
          <t xml:space="preserve">
On January 2018, the company adopted a new accounting standard for revenue recognition. Based on the new criteria the transaction price is attributed to underlying performance obligations in the contract and revenue is recognized as the entity satisfies performance obligations and transfers control of a good or service to the customer. Incremental costs of obtaining a contract may be capitalized to the extent the entity expects to recover those costs.</t>
        </r>
      </text>
    </comment>
    <comment ref="Z2" authorId="0" shapeId="0" xr:uid="{00000000-0006-0000-0100-000004000000}">
      <text>
        <r>
          <rPr>
            <b/>
            <sz val="9"/>
            <rFont val="Tahoma"/>
            <family val="2"/>
          </rPr>
          <t>Tegus (MC):</t>
        </r>
        <r>
          <rPr>
            <sz val="9"/>
            <rFont val="Tahoma"/>
            <family val="2"/>
          </rPr>
          <t xml:space="preserve">
On January 2018, the company adopted a new accounting standard for revenue recognition. Based on the new criteria the transaction price is attributed to underlying performance obligations in the contract and revenue is recognized as the entity satisfies performance obligations and transfers control of a good or service to the customer. Incremental costs of obtaining a contract may be capitalized to the extent the entity expects to recover those costs.</t>
        </r>
      </text>
    </comment>
    <comment ref="AA2" authorId="0" shapeId="0" xr:uid="{00000000-0006-0000-0100-000005000000}">
      <text>
        <r>
          <rPr>
            <b/>
            <sz val="9"/>
            <rFont val="Tahoma"/>
            <family val="2"/>
          </rPr>
          <t>Tegus (MC):</t>
        </r>
        <r>
          <rPr>
            <sz val="9"/>
            <rFont val="Tahoma"/>
            <family val="2"/>
          </rPr>
          <t xml:space="preserve">
On January 2018, the company adopted a new accounting standard for revenue recognition. Based on the new criteria the transaction price is attributed to underlying performance obligations in the contract and revenue is recognized as the entity satisfies performance obligations and transfers control of a good or service to the customer. Incremental costs of obtaining a contract may be capitalized to the extent the entity expects to recover those costs.</t>
        </r>
      </text>
    </comment>
    <comment ref="AL2" authorId="0" shapeId="0" xr:uid="{00000000-0006-0000-0100-000006000000}">
      <text>
        <r>
          <rPr>
            <b/>
            <sz val="9"/>
            <rFont val="Tahoma"/>
            <family val="2"/>
          </rPr>
          <t>Tegus (OG):</t>
        </r>
        <r>
          <rPr>
            <sz val="9"/>
            <rFont val="Tahoma"/>
            <family val="2"/>
          </rPr>
          <t xml:space="preserve">
Restated. Due to acquisition of National General and sale of Allstate Life, company changed reporting segments</t>
        </r>
      </text>
    </comment>
    <comment ref="AM2" authorId="0" shapeId="0" xr:uid="{00000000-0006-0000-0100-000007000000}">
      <text>
        <r>
          <rPr>
            <b/>
            <sz val="9"/>
            <rFont val="Tahoma"/>
            <family val="2"/>
          </rPr>
          <t>Tegus (OG):</t>
        </r>
        <r>
          <rPr>
            <sz val="9"/>
            <rFont val="Tahoma"/>
            <family val="2"/>
          </rPr>
          <t xml:space="preserve">
Restated. Due to acquisition of National General and sale of Allstate Life, company changed reporting segments</t>
        </r>
      </text>
    </comment>
    <comment ref="AN2" authorId="0" shapeId="0" xr:uid="{00000000-0006-0000-0100-000008000000}">
      <text>
        <r>
          <rPr>
            <b/>
            <sz val="9"/>
            <rFont val="Tahoma"/>
            <family val="2"/>
          </rPr>
          <t>Tegus (OG):</t>
        </r>
        <r>
          <rPr>
            <sz val="9"/>
            <rFont val="Tahoma"/>
            <family val="2"/>
          </rPr>
          <t xml:space="preserve">
Restated. Due to acquisition of National General and sale of Allstate Life, company changed reporting segments</t>
        </r>
      </text>
    </comment>
    <comment ref="AO2" authorId="0" shapeId="0" xr:uid="{00000000-0006-0000-0100-000009000000}">
      <text>
        <r>
          <rPr>
            <b/>
            <sz val="9"/>
            <rFont val="Tahoma"/>
            <family val="2"/>
          </rPr>
          <t>Tegus (OG):</t>
        </r>
        <r>
          <rPr>
            <sz val="9"/>
            <rFont val="Tahoma"/>
            <family val="2"/>
          </rPr>
          <t xml:space="preserve">
Restated. Due to acquisition of National General and sale of Allstate Life, company changed reporting segments</t>
        </r>
      </text>
    </comment>
    <comment ref="AP2" authorId="0" shapeId="0" xr:uid="{00000000-0006-0000-0100-00000A000000}">
      <text>
        <r>
          <rPr>
            <b/>
            <sz val="9"/>
            <rFont val="Tahoma"/>
            <family val="2"/>
          </rPr>
          <t>Tegus (OG):</t>
        </r>
        <r>
          <rPr>
            <sz val="9"/>
            <rFont val="Tahoma"/>
            <family val="2"/>
          </rPr>
          <t xml:space="preserve">
Restated. Due to acquisition of National General and sale of Allstate Life, company changed reporting segments</t>
        </r>
      </text>
    </comment>
    <comment ref="AV2" authorId="0" shapeId="0" xr:uid="{00000000-0006-0000-0100-00000B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This period was restated</t>
        </r>
      </text>
    </comment>
    <comment ref="AW2" authorId="0" shapeId="0" xr:uid="{00000000-0006-0000-0100-00000C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This period was restated</t>
        </r>
      </text>
    </comment>
    <comment ref="AX2" authorId="0" shapeId="0" xr:uid="{00000000-0006-0000-0100-00000D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This period was restated</t>
        </r>
      </text>
    </comment>
    <comment ref="AY2" authorId="0" shapeId="0" xr:uid="{00000000-0006-0000-0100-00000E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This period was restated</t>
        </r>
      </text>
    </comment>
    <comment ref="AZ2" authorId="0" shapeId="0" xr:uid="{00000000-0006-0000-0100-00000F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This period was restated</t>
        </r>
      </text>
    </comment>
    <comment ref="AQ24" authorId="0" shapeId="0" xr:uid="{00000000-0006-0000-0100-000010000000}">
      <text>
        <r>
          <rPr>
            <b/>
            <sz val="9"/>
            <rFont val="Tahoma"/>
            <family val="2"/>
          </rPr>
          <t>Tegus (OG):</t>
        </r>
        <r>
          <rPr>
            <sz val="9"/>
            <rFont val="Tahoma"/>
            <family val="2"/>
          </rPr>
          <t xml:space="preserve">
company divested allstate life business, effective Q1-2021</t>
        </r>
      </text>
    </comment>
    <comment ref="AQ26" authorId="0" shapeId="0" xr:uid="{00000000-0006-0000-0100-000011000000}">
      <text>
        <r>
          <rPr>
            <b/>
            <sz val="9"/>
            <rFont val="Tahoma"/>
            <family val="2"/>
          </rPr>
          <t>Tegus (OG):</t>
        </r>
        <r>
          <rPr>
            <sz val="9"/>
            <rFont val="Tahoma"/>
            <family val="2"/>
          </rPr>
          <t xml:space="preserve">
company divested annuities business, effective Q1-2021</t>
        </r>
      </text>
    </comment>
    <comment ref="AZ35" authorId="0" shapeId="0" xr:uid="{00000000-0006-0000-0100-000012000000}">
      <text>
        <r>
          <rPr>
            <b/>
            <sz val="9"/>
            <rFont val="Tahoma"/>
            <family val="2"/>
          </rPr>
          <t>Tegus:</t>
        </r>
        <r>
          <rPr>
            <sz val="9"/>
            <rFont val="Tahoma"/>
            <family val="2"/>
          </rPr>
          <t xml:space="preserve">
Hardcoded as reported</t>
        </r>
      </text>
    </comment>
    <comment ref="BG37" authorId="1" shapeId="0" xr:uid="{00000000-0006-0000-0100-000013000000}">
      <text>
        <r>
          <rPr>
            <b/>
            <sz val="9"/>
            <rFont val="Tahoma"/>
            <family val="2"/>
          </rPr>
          <t>Tegus (RF):</t>
        </r>
        <r>
          <rPr>
            <sz val="9"/>
            <rFont val="Tahoma"/>
            <family val="2"/>
          </rPr>
          <t xml:space="preserve">
reported as 15,714</t>
        </r>
      </text>
    </comment>
    <comment ref="A169" authorId="0" shapeId="0" xr:uid="{00000000-0006-0000-0100-000014000000}">
      <text>
        <r>
          <rPr>
            <b/>
            <sz val="9"/>
            <rFont val="Tahoma"/>
            <family val="2"/>
          </rPr>
          <t>Tegus (OG):</t>
        </r>
        <r>
          <rPr>
            <sz val="9"/>
            <rFont val="Tahoma"/>
            <family val="2"/>
          </rPr>
          <t xml:space="preserve">
Other revenue is deducted from other costs and expenses in the expense ratio calculation.</t>
        </r>
      </text>
    </comment>
    <comment ref="AY178" authorId="0" shapeId="0" xr:uid="{00000000-0006-0000-0100-000015000000}">
      <text>
        <r>
          <rPr>
            <b/>
            <sz val="9"/>
            <rFont val="Tahoma"/>
            <family val="2"/>
          </rPr>
          <t>Tegus (HN):</t>
        </r>
        <r>
          <rPr>
            <sz val="9"/>
            <rFont val="Tahoma"/>
            <family val="2"/>
          </rPr>
          <t xml:space="preserve">
Reported as 109.1%</t>
        </r>
      </text>
    </comment>
    <comment ref="BH178" authorId="1" shapeId="0" xr:uid="{0B4906DB-7446-4A8B-B6C4-36AFC7C87CC4}">
      <text>
        <r>
          <rPr>
            <b/>
            <sz val="9"/>
            <rFont val="Tahoma"/>
            <family val="2"/>
          </rPr>
          <t>Tegus (RF):</t>
        </r>
        <r>
          <rPr>
            <sz val="9"/>
            <rFont val="Tahoma"/>
            <family val="2"/>
          </rPr>
          <t xml:space="preserve">
reported as 96.4%</t>
        </r>
      </text>
    </comment>
    <comment ref="AQ206" authorId="0" shapeId="0" xr:uid="{00000000-0006-0000-0100-000016000000}">
      <text>
        <r>
          <rPr>
            <b/>
            <sz val="9"/>
            <rFont val="Tahoma"/>
            <family val="2"/>
          </rPr>
          <t>Tegus (OG):</t>
        </r>
        <r>
          <rPr>
            <sz val="9"/>
            <rFont val="Tahoma"/>
            <family val="2"/>
          </rPr>
          <t xml:space="preserve">
no longer reported</t>
        </r>
      </text>
    </comment>
    <comment ref="L214" authorId="0" shapeId="0" xr:uid="{00000000-0006-0000-0100-000017000000}">
      <text>
        <r>
          <rPr>
            <b/>
            <sz val="9"/>
            <rFont val="Tahoma"/>
            <family val="2"/>
          </rPr>
          <t>Tegus (ML):</t>
        </r>
        <r>
          <rPr>
            <sz val="9"/>
            <rFont val="Tahoma"/>
            <family val="2"/>
          </rPr>
          <t xml:space="preserve">
Not reported prior to FY2014</t>
        </r>
      </text>
    </comment>
    <comment ref="A225" authorId="0" shapeId="0" xr:uid="{00000000-0006-0000-0100-000018000000}">
      <text>
        <r>
          <rPr>
            <b/>
            <sz val="9"/>
            <rFont val="Tahoma"/>
            <family val="2"/>
          </rPr>
          <t>Tegus (OG):</t>
        </r>
        <r>
          <rPr>
            <sz val="9"/>
            <rFont val="Tahoma"/>
            <family val="2"/>
          </rPr>
          <t xml:space="preserve">
Previously named as Service Businesses</t>
        </r>
      </text>
    </comment>
    <comment ref="AQ242" authorId="0" shapeId="0" xr:uid="{00000000-0006-0000-0100-000019000000}">
      <text>
        <r>
          <rPr>
            <b/>
            <sz val="9"/>
            <rFont val="Tahoma"/>
            <family val="2"/>
          </rPr>
          <t>Tegus (OG):</t>
        </r>
        <r>
          <rPr>
            <sz val="9"/>
            <rFont val="Tahoma"/>
            <family val="2"/>
          </rPr>
          <t xml:space="preserve">
formula adjusted to exclude realized capital gains to match reported</t>
        </r>
      </text>
    </comment>
    <comment ref="A257" authorId="0" shapeId="0" xr:uid="{00000000-0006-0000-0100-00001A000000}">
      <text>
        <r>
          <rPr>
            <b/>
            <sz val="9"/>
            <rFont val="Tahoma"/>
            <family val="2"/>
          </rPr>
          <t>Tegus (OG):</t>
        </r>
        <r>
          <rPr>
            <sz val="9"/>
            <rFont val="Tahoma"/>
            <family val="2"/>
          </rPr>
          <t xml:space="preserve">
Other revenue is deducted from other costs and expenses in the expense ratio calculation.</t>
        </r>
      </text>
    </comment>
    <comment ref="A260" authorId="0" shapeId="0" xr:uid="{00000000-0006-0000-0100-00001B000000}">
      <text>
        <r>
          <rPr>
            <b/>
            <sz val="9"/>
            <rFont val="Tahoma"/>
            <family val="2"/>
          </rPr>
          <t>Tegus (OG):</t>
        </r>
        <r>
          <rPr>
            <sz val="9"/>
            <rFont val="Tahoma"/>
            <family val="2"/>
          </rPr>
          <t xml:space="preserve">
Previously named as Service Businesses</t>
        </r>
      </text>
    </comment>
    <comment ref="A269" authorId="0" shapeId="0" xr:uid="{00000000-0006-0000-0100-00001C000000}">
      <text>
        <r>
          <rPr>
            <b/>
            <sz val="9"/>
            <rFont val="Tahoma"/>
            <family val="2"/>
          </rPr>
          <t>Tegus (OG):</t>
        </r>
        <r>
          <rPr>
            <sz val="9"/>
            <rFont val="Tahoma"/>
            <family val="2"/>
          </rPr>
          <t xml:space="preserve">
Previously named as Allstate Benefits</t>
        </r>
      </text>
    </comment>
    <comment ref="AQ291" authorId="0" shapeId="0" xr:uid="{00000000-0006-0000-0100-00001D000000}">
      <text>
        <r>
          <rPr>
            <b/>
            <sz val="9"/>
            <rFont val="Tahoma"/>
            <family val="2"/>
          </rPr>
          <t>Tegus (OG):</t>
        </r>
        <r>
          <rPr>
            <sz val="9"/>
            <rFont val="Tahoma"/>
            <family val="2"/>
          </rPr>
          <t xml:space="preserve">
stopped reporting</t>
        </r>
      </text>
    </comment>
    <comment ref="BE308" authorId="0" shapeId="0" xr:uid="{00000000-0006-0000-0100-00001E000000}">
      <text>
        <r>
          <rPr>
            <b/>
            <sz val="9"/>
            <rFont val="Tahoma"/>
            <family val="2"/>
          </rPr>
          <t>Tegus (AHA):</t>
        </r>
        <r>
          <rPr>
            <sz val="9"/>
            <rFont val="Tahoma"/>
            <family val="2"/>
          </rPr>
          <t xml:space="preserve">
Reported as 86 on IP and 89 on 10K. Hardcoded as 89 to match reported total consolidated revenue </t>
        </r>
      </text>
    </comment>
    <comment ref="BB311" authorId="0" shapeId="0" xr:uid="{00000000-0006-0000-0100-00001F000000}">
      <text>
        <r>
          <rPr>
            <b/>
            <sz val="9"/>
            <rFont val="Tahoma"/>
            <family val="2"/>
          </rPr>
          <t>Tegus (AS):</t>
        </r>
        <r>
          <rPr>
            <sz val="9"/>
            <rFont val="Tahoma"/>
            <family val="2"/>
          </rPr>
          <t xml:space="preserve">
Excludes settlement costs for non-recurring litigation that is outside of the ordinary course of business</t>
        </r>
      </text>
    </comment>
    <comment ref="AQ326" authorId="0" shapeId="0" xr:uid="{00000000-0006-0000-0100-000020000000}">
      <text>
        <r>
          <rPr>
            <b/>
            <sz val="9"/>
            <rFont val="Tahoma"/>
            <family val="2"/>
          </rPr>
          <t>Tegus (OG):</t>
        </r>
        <r>
          <rPr>
            <sz val="9"/>
            <rFont val="Tahoma"/>
            <family val="2"/>
          </rPr>
          <t xml:space="preserve">
stopped reporting</t>
        </r>
      </text>
    </comment>
    <comment ref="AN370" authorId="0" shapeId="0" xr:uid="{00000000-0006-0000-0100-000021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AN377" authorId="0" shapeId="0" xr:uid="{00000000-0006-0000-0100-000022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AN378" authorId="0" shapeId="0" xr:uid="{00000000-0006-0000-0100-000023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AN379" authorId="0" shapeId="0" xr:uid="{00000000-0006-0000-0100-000024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AN380" authorId="0" shapeId="0" xr:uid="{00000000-0006-0000-0100-000025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C392" authorId="0" shapeId="0" xr:uid="{00000000-0006-0000-0100-000026000000}">
      <text>
        <r>
          <rPr>
            <b/>
            <sz val="9"/>
            <rFont val="Tahoma"/>
            <family val="2"/>
          </rPr>
          <t>Tegus (OG):</t>
        </r>
        <r>
          <rPr>
            <sz val="9"/>
            <rFont val="Tahoma"/>
            <family val="2"/>
          </rPr>
          <t xml:space="preserve">
Breakdown not reported</t>
        </r>
      </text>
    </comment>
    <comment ref="D392" authorId="0" shapeId="0" xr:uid="{00000000-0006-0000-0100-000027000000}">
      <text>
        <r>
          <rPr>
            <b/>
            <sz val="9"/>
            <rFont val="Tahoma"/>
            <family val="2"/>
          </rPr>
          <t>Tegus (OG):</t>
        </r>
        <r>
          <rPr>
            <sz val="9"/>
            <rFont val="Tahoma"/>
            <family val="2"/>
          </rPr>
          <t xml:space="preserve">
Breakdown not reported</t>
        </r>
      </text>
    </comment>
    <comment ref="E392" authorId="0" shapeId="0" xr:uid="{00000000-0006-0000-0100-000028000000}">
      <text>
        <r>
          <rPr>
            <b/>
            <sz val="9"/>
            <rFont val="Tahoma"/>
            <family val="2"/>
          </rPr>
          <t>Tegus (OG):</t>
        </r>
        <r>
          <rPr>
            <sz val="9"/>
            <rFont val="Tahoma"/>
            <family val="2"/>
          </rPr>
          <t xml:space="preserve">
Breakdown not reported</t>
        </r>
      </text>
    </comment>
    <comment ref="AN394" authorId="0" shapeId="0" xr:uid="{00000000-0006-0000-0100-000029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D395" authorId="0" shapeId="0" xr:uid="{00000000-0006-0000-0100-00002A000000}">
      <text>
        <r>
          <rPr>
            <b/>
            <sz val="9"/>
            <rFont val="Tahoma"/>
            <family val="2"/>
          </rPr>
          <t>Tegus (ML):</t>
        </r>
        <r>
          <rPr>
            <sz val="9"/>
            <rFont val="Tahoma"/>
            <family val="2"/>
          </rPr>
          <t xml:space="preserve">
Includes Standard auto &amp; Non-standard auto </t>
        </r>
      </text>
    </comment>
    <comment ref="D401" authorId="0" shapeId="0" xr:uid="{00000000-0006-0000-0100-00002B000000}">
      <text>
        <r>
          <rPr>
            <b/>
            <sz val="9"/>
            <rFont val="Tahoma"/>
            <family val="2"/>
          </rPr>
          <t>Tegus (ML):</t>
        </r>
        <r>
          <rPr>
            <sz val="9"/>
            <rFont val="Tahoma"/>
            <family val="2"/>
          </rPr>
          <t xml:space="preserve">
Includes Landlord, Renters, Condominium, Other property, Specialty auto, &amp; Commercial lines</t>
        </r>
      </text>
    </comment>
    <comment ref="AO401" authorId="0" shapeId="0" xr:uid="{00000000-0006-0000-0100-00002C000000}">
      <text>
        <r>
          <rPr>
            <b/>
            <sz val="9"/>
            <rFont val="Tahoma"/>
            <family val="2"/>
          </rPr>
          <t>Tegus (OG):</t>
        </r>
        <r>
          <rPr>
            <sz val="9"/>
            <rFont val="Tahoma"/>
            <family val="2"/>
          </rPr>
          <t xml:space="preserve">
stopped reporting breakdown</t>
        </r>
      </text>
    </comment>
    <comment ref="AN410" authorId="0" shapeId="0" xr:uid="{00000000-0006-0000-0100-00002D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AN411" authorId="0" shapeId="0" xr:uid="{00000000-0006-0000-0100-00002E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AN412" authorId="0" shapeId="0" xr:uid="{00000000-0006-0000-0100-00002F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E414" authorId="0" shapeId="0" xr:uid="{00000000-0006-0000-0100-000030000000}">
      <text>
        <r>
          <rPr>
            <b/>
            <sz val="9"/>
            <rFont val="Tahoma"/>
            <family val="2"/>
          </rPr>
          <t>Tegus (ML):</t>
        </r>
        <r>
          <rPr>
            <sz val="9"/>
            <rFont val="Tahoma"/>
            <family val="2"/>
          </rPr>
          <t xml:space="preserve">
Includes Standard auto, Non-standard auto, &amp; Specialty auto</t>
        </r>
      </text>
    </comment>
    <comment ref="E416" authorId="0" shapeId="0" xr:uid="{00000000-0006-0000-0100-000031000000}">
      <text>
        <r>
          <rPr>
            <b/>
            <sz val="9"/>
            <rFont val="Tahoma"/>
            <family val="2"/>
          </rPr>
          <t>Tegus (ML):</t>
        </r>
        <r>
          <rPr>
            <sz val="9"/>
            <rFont val="Tahoma"/>
            <family val="2"/>
          </rPr>
          <t xml:space="preserve">
Includes Specialty property &amp; Involuntary auto</t>
        </r>
      </text>
    </comment>
    <comment ref="A418" authorId="0" shapeId="0" xr:uid="{00000000-0006-0000-0100-000032000000}">
      <text>
        <r>
          <rPr>
            <b/>
            <sz val="9"/>
            <rFont val="Tahoma"/>
            <family val="2"/>
          </rPr>
          <t>Tegus (ML):</t>
        </r>
        <r>
          <rPr>
            <sz val="9"/>
            <rFont val="Tahoma"/>
            <family val="2"/>
          </rPr>
          <t xml:space="preserve">
The same as SquareTrade</t>
        </r>
      </text>
    </comment>
    <comment ref="A421" authorId="0" shapeId="0" xr:uid="{00000000-0006-0000-0100-000033000000}">
      <text>
        <r>
          <rPr>
            <b/>
            <sz val="9"/>
            <rFont val="Tahoma"/>
            <family val="2"/>
          </rPr>
          <t>Tegus (ML):</t>
        </r>
        <r>
          <rPr>
            <sz val="9"/>
            <rFont val="Tahoma"/>
            <family val="2"/>
          </rPr>
          <t xml:space="preserve">
The same as InfoArmor</t>
        </r>
      </text>
    </comment>
    <comment ref="AN429" authorId="0" shapeId="0" xr:uid="{00000000-0006-0000-0100-000034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AQ429" authorId="0" shapeId="0" xr:uid="{00000000-0006-0000-0100-000035000000}">
      <text>
        <r>
          <rPr>
            <b/>
            <sz val="9"/>
            <rFont val="Tahoma"/>
            <family val="2"/>
          </rPr>
          <t>Tegus (OG):</t>
        </r>
        <r>
          <rPr>
            <sz val="9"/>
            <rFont val="Tahoma"/>
            <family val="2"/>
          </rPr>
          <t xml:space="preserve">
No longer reported. Company changed reporting structure in Q1-2021.</t>
        </r>
      </text>
    </comment>
    <comment ref="AN435" authorId="0" shapeId="0" xr:uid="{00000000-0006-0000-0100-000036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AQ435" authorId="0" shapeId="0" xr:uid="{00000000-0006-0000-0100-000037000000}">
      <text>
        <r>
          <rPr>
            <b/>
            <sz val="9"/>
            <rFont val="Tahoma"/>
            <family val="2"/>
          </rPr>
          <t>Tegus (OG):</t>
        </r>
        <r>
          <rPr>
            <sz val="9"/>
            <rFont val="Tahoma"/>
            <family val="2"/>
          </rPr>
          <t xml:space="preserve">
No longer reported. Company changed reporting structure in Q1-2021.</t>
        </r>
      </text>
    </comment>
    <comment ref="A446" authorId="0" shapeId="0" xr:uid="{00000000-0006-0000-0100-000038000000}">
      <text>
        <r>
          <rPr>
            <b/>
            <sz val="9"/>
            <rFont val="Tahoma"/>
            <family val="2"/>
          </rPr>
          <t>Tegus (OG):</t>
        </r>
        <r>
          <rPr>
            <sz val="9"/>
            <rFont val="Tahoma"/>
            <family val="2"/>
          </rPr>
          <t xml:space="preserve">
Other business lines primarily represent commissions earned and other costs and expenses for Ivantage.</t>
        </r>
      </text>
    </comment>
    <comment ref="A458" authorId="0" shapeId="0" xr:uid="{00000000-0006-0000-0100-000039000000}">
      <text>
        <r>
          <rPr>
            <b/>
            <sz val="9"/>
            <rFont val="Tahoma"/>
            <family val="2"/>
          </rPr>
          <t>Tegus (OG):</t>
        </r>
        <r>
          <rPr>
            <sz val="9"/>
            <rFont val="Tahoma"/>
            <family val="2"/>
          </rPr>
          <t xml:space="preserve">
Other business lines primarily represent commissions earned and other costs and expenses for Ivantage.</t>
        </r>
      </text>
    </comment>
    <comment ref="A464" authorId="0" shapeId="0" xr:uid="{00000000-0006-0000-0100-00003A000000}">
      <text>
        <r>
          <rPr>
            <b/>
            <sz val="9"/>
            <rFont val="Tahoma"/>
            <family val="2"/>
          </rPr>
          <t>Tegus (OG):</t>
        </r>
        <r>
          <rPr>
            <sz val="9"/>
            <rFont val="Tahoma"/>
            <family val="2"/>
          </rPr>
          <t xml:space="preserve">
Other business lines primarily represent commissions earned and other costs and expenses for Ivantage.</t>
        </r>
      </text>
    </comment>
    <comment ref="A468" authorId="0" shapeId="0" xr:uid="{00000000-0006-0000-0100-00003B000000}">
      <text>
        <r>
          <rPr>
            <b/>
            <sz val="9"/>
            <rFont val="Tahoma"/>
            <family val="2"/>
          </rPr>
          <t>Tegus (OG):</t>
        </r>
        <r>
          <rPr>
            <sz val="9"/>
            <rFont val="Tahoma"/>
            <family val="2"/>
          </rPr>
          <t xml:space="preserve">
Other revenue is deducted from other costs and expenses in the expense ratio calculation.</t>
        </r>
      </text>
    </comment>
    <comment ref="AN475" authorId="0" shapeId="0" xr:uid="{00000000-0006-0000-0100-00003C000000}">
      <text>
        <r>
          <rPr>
            <b/>
            <sz val="9"/>
            <rFont val="Tahoma"/>
            <family val="2"/>
          </rPr>
          <t>Tegus (OG):</t>
        </r>
        <r>
          <rPr>
            <sz val="9"/>
            <rFont val="Tahoma"/>
            <family val="2"/>
          </rPr>
          <t xml:space="preserve">
As part of the Transformative Growth Plan, Esurance brand results have been combined into the Allstate brand in the third quarter of 2020.</t>
        </r>
      </text>
    </comment>
    <comment ref="A496" authorId="0" shapeId="0" xr:uid="{00000000-0006-0000-0100-00003D000000}">
      <text>
        <r>
          <rPr>
            <b/>
            <sz val="9"/>
            <rFont val="Tahoma"/>
            <family val="2"/>
          </rPr>
          <t>Tegus (OG):</t>
        </r>
        <r>
          <rPr>
            <sz val="9"/>
            <rFont val="Tahoma"/>
            <family val="2"/>
          </rPr>
          <t xml:space="preserve">
Other revenue is deducted from other costs and expenses in the expense ratio calculation.</t>
        </r>
      </text>
    </comment>
    <comment ref="AQ504" authorId="0" shapeId="0" xr:uid="{00000000-0006-0000-0100-00003E000000}">
      <text>
        <r>
          <rPr>
            <b/>
            <sz val="9"/>
            <rFont val="Tahoma"/>
            <family val="2"/>
          </rPr>
          <t>Tegus (OG):</t>
        </r>
        <r>
          <rPr>
            <sz val="9"/>
            <rFont val="Tahoma"/>
            <family val="2"/>
          </rPr>
          <t xml:space="preserve">
Encompass brand has been combined into National General in the first quarter of 2021 </t>
        </r>
      </text>
    </comment>
    <comment ref="A527" authorId="0" shapeId="0" xr:uid="{00000000-0006-0000-0100-00003F000000}">
      <text>
        <r>
          <rPr>
            <b/>
            <sz val="9"/>
            <rFont val="Tahoma"/>
            <family val="2"/>
          </rPr>
          <t>Tegus (OG):</t>
        </r>
        <r>
          <rPr>
            <sz val="9"/>
            <rFont val="Tahoma"/>
            <family val="2"/>
          </rPr>
          <t xml:space="preserve">
Other revenue is deducted from other costs and expenses in the expense ratio calculation.</t>
        </r>
      </text>
    </comment>
    <comment ref="AQ533" authorId="0" shapeId="0" xr:uid="{00000000-0006-0000-0100-000040000000}">
      <text>
        <r>
          <rPr>
            <b/>
            <sz val="9"/>
            <rFont val="Tahoma"/>
            <family val="2"/>
          </rPr>
          <t>Tegus (OG):</t>
        </r>
        <r>
          <rPr>
            <sz val="9"/>
            <rFont val="Tahoma"/>
            <family val="2"/>
          </rPr>
          <t xml:space="preserve">
Segment divested as of Q1-2021</t>
        </r>
      </text>
    </comment>
    <comment ref="AQ554" authorId="0" shapeId="0" xr:uid="{00000000-0006-0000-0100-000041000000}">
      <text>
        <r>
          <rPr>
            <b/>
            <sz val="9"/>
            <rFont val="Tahoma"/>
            <family val="2"/>
          </rPr>
          <t>Tegus (OG):</t>
        </r>
        <r>
          <rPr>
            <sz val="9"/>
            <rFont val="Tahoma"/>
            <family val="2"/>
          </rPr>
          <t xml:space="preserve">
Segment divested as of Q1-2021</t>
        </r>
      </text>
    </comment>
    <comment ref="AQ573" authorId="0" shapeId="0" xr:uid="{00000000-0006-0000-0100-000042000000}">
      <text>
        <r>
          <rPr>
            <b/>
            <sz val="9"/>
            <rFont val="Tahoma"/>
            <family val="2"/>
          </rPr>
          <t>Tegus (OG):</t>
        </r>
        <r>
          <rPr>
            <sz val="9"/>
            <rFont val="Tahoma"/>
            <family val="2"/>
          </rPr>
          <t xml:space="preserve">
Segment divested as of Q1-2021</t>
        </r>
      </text>
    </comment>
    <comment ref="AL608" authorId="0" shapeId="0" xr:uid="{00000000-0006-0000-0100-000043000000}">
      <text>
        <r>
          <rPr>
            <b/>
            <sz val="9"/>
            <rFont val="Tahoma"/>
            <family val="2"/>
          </rPr>
          <t>Tegus (OG):</t>
        </r>
        <r>
          <rPr>
            <sz val="9"/>
            <rFont val="Tahoma"/>
            <family val="2"/>
          </rPr>
          <t xml:space="preserve">
Restated. Due to acquisition of National General and sale of Allstate Life, company changed reporting segments</t>
        </r>
      </text>
    </comment>
    <comment ref="AM608" authorId="0" shapeId="0" xr:uid="{00000000-0006-0000-0100-000044000000}">
      <text>
        <r>
          <rPr>
            <b/>
            <sz val="9"/>
            <rFont val="Tahoma"/>
            <family val="2"/>
          </rPr>
          <t>Tegus (OG):</t>
        </r>
        <r>
          <rPr>
            <sz val="9"/>
            <rFont val="Tahoma"/>
            <family val="2"/>
          </rPr>
          <t xml:space="preserve">
Restated. Due to acquisition of National General and sale of Allstate Life, company changed reporting segments</t>
        </r>
      </text>
    </comment>
    <comment ref="AN608" authorId="0" shapeId="0" xr:uid="{00000000-0006-0000-0100-000045000000}">
      <text>
        <r>
          <rPr>
            <b/>
            <sz val="9"/>
            <rFont val="Tahoma"/>
            <family val="2"/>
          </rPr>
          <t>Tegus (OG):</t>
        </r>
        <r>
          <rPr>
            <sz val="9"/>
            <rFont val="Tahoma"/>
            <family val="2"/>
          </rPr>
          <t xml:space="preserve">
Restated. Due to acquisition of National General and sale of Allstate Life, company changed reporting segments</t>
        </r>
      </text>
    </comment>
    <comment ref="AO608" authorId="0" shapeId="0" xr:uid="{00000000-0006-0000-0100-000046000000}">
      <text>
        <r>
          <rPr>
            <b/>
            <sz val="9"/>
            <rFont val="Tahoma"/>
            <family val="2"/>
          </rPr>
          <t>Tegus (OG):</t>
        </r>
        <r>
          <rPr>
            <sz val="9"/>
            <rFont val="Tahoma"/>
            <family val="2"/>
          </rPr>
          <t xml:space="preserve">
Restated. Due to acquisition of National General and sale of Allstate Life, company changed reporting segments</t>
        </r>
      </text>
    </comment>
    <comment ref="AP608" authorId="0" shapeId="0" xr:uid="{00000000-0006-0000-0100-000047000000}">
      <text>
        <r>
          <rPr>
            <b/>
            <sz val="9"/>
            <rFont val="Tahoma"/>
            <family val="2"/>
          </rPr>
          <t>Tegus (OG):</t>
        </r>
        <r>
          <rPr>
            <sz val="9"/>
            <rFont val="Tahoma"/>
            <family val="2"/>
          </rPr>
          <t xml:space="preserve">
Restated. Due to acquisition of National General and sale of Allstate Life, company changed reporting segments</t>
        </r>
      </text>
    </comment>
    <comment ref="AL615" authorId="0" shapeId="0" xr:uid="{00000000-0006-0000-0100-000048000000}">
      <text>
        <r>
          <rPr>
            <b/>
            <sz val="9"/>
            <rFont val="Tahoma"/>
            <family val="2"/>
          </rPr>
          <t>Tegus (YY):</t>
        </r>
        <r>
          <rPr>
            <sz val="9"/>
            <rFont val="Tahoma"/>
            <family val="2"/>
          </rPr>
          <t xml:space="preserve">
not reported</t>
        </r>
      </text>
    </comment>
    <comment ref="AL616" authorId="0" shapeId="0" xr:uid="{00000000-0006-0000-0100-000049000000}">
      <text>
        <r>
          <rPr>
            <b/>
            <sz val="9"/>
            <rFont val="Tahoma"/>
            <family val="2"/>
          </rPr>
          <t>Tegus (YY):</t>
        </r>
        <r>
          <rPr>
            <sz val="9"/>
            <rFont val="Tahoma"/>
            <family val="2"/>
          </rPr>
          <t xml:space="preserve">
not reported</t>
        </r>
      </text>
    </comment>
    <comment ref="AL645" authorId="0" shapeId="0" xr:uid="{00000000-0006-0000-0100-00004A000000}">
      <text>
        <r>
          <rPr>
            <b/>
            <sz val="9"/>
            <rFont val="Tahoma"/>
            <family val="2"/>
          </rPr>
          <t>Tegus (OG):</t>
        </r>
        <r>
          <rPr>
            <sz val="9"/>
            <rFont val="Tahoma"/>
            <family val="2"/>
          </rPr>
          <t xml:space="preserve">
Restated. Due to acquisition of National General and sale of Allstate Life, company changed reporting segments</t>
        </r>
      </text>
    </comment>
    <comment ref="AM645" authorId="0" shapeId="0" xr:uid="{00000000-0006-0000-0100-00004B000000}">
      <text>
        <r>
          <rPr>
            <b/>
            <sz val="9"/>
            <rFont val="Tahoma"/>
            <family val="2"/>
          </rPr>
          <t>Tegus (OG):</t>
        </r>
        <r>
          <rPr>
            <sz val="9"/>
            <rFont val="Tahoma"/>
            <family val="2"/>
          </rPr>
          <t xml:space="preserve">
Restated. Due to acquisition of National General and sale of Allstate Life, company changed reporting segments</t>
        </r>
      </text>
    </comment>
    <comment ref="AN645" authorId="0" shapeId="0" xr:uid="{00000000-0006-0000-0100-00004C000000}">
      <text>
        <r>
          <rPr>
            <b/>
            <sz val="9"/>
            <rFont val="Tahoma"/>
            <family val="2"/>
          </rPr>
          <t>Tegus (OG):</t>
        </r>
        <r>
          <rPr>
            <sz val="9"/>
            <rFont val="Tahoma"/>
            <family val="2"/>
          </rPr>
          <t xml:space="preserve">
Restated. Due to acquisition of National General and sale of Allstate Life, company changed reporting segments</t>
        </r>
      </text>
    </comment>
    <comment ref="AO645" authorId="0" shapeId="0" xr:uid="{00000000-0006-0000-0100-00004D000000}">
      <text>
        <r>
          <rPr>
            <b/>
            <sz val="9"/>
            <rFont val="Tahoma"/>
            <family val="2"/>
          </rPr>
          <t>Tegus (OG):</t>
        </r>
        <r>
          <rPr>
            <sz val="9"/>
            <rFont val="Tahoma"/>
            <family val="2"/>
          </rPr>
          <t xml:space="preserve">
Restated. Due to acquisition of National General and sale of Allstate Life, company changed reporting segments</t>
        </r>
      </text>
    </comment>
    <comment ref="AP645" authorId="0" shapeId="0" xr:uid="{00000000-0006-0000-0100-00004E000000}">
      <text>
        <r>
          <rPr>
            <b/>
            <sz val="9"/>
            <rFont val="Tahoma"/>
            <family val="2"/>
          </rPr>
          <t>Tegus (OG):</t>
        </r>
        <r>
          <rPr>
            <sz val="9"/>
            <rFont val="Tahoma"/>
            <family val="2"/>
          </rPr>
          <t xml:space="preserve">
Restated. Due to acquisition of National General and sale of Allstate Life, company changed reporting segments</t>
        </r>
      </text>
    </comment>
    <comment ref="BB667" authorId="0" shapeId="0" xr:uid="{00000000-0006-0000-0100-00004F000000}">
      <text>
        <r>
          <rPr>
            <b/>
            <sz val="9"/>
            <rFont val="Tahoma"/>
            <family val="2"/>
          </rPr>
          <t>Tegus (AS):</t>
        </r>
        <r>
          <rPr>
            <sz val="9"/>
            <rFont val="Tahoma"/>
            <family val="2"/>
          </rPr>
          <t xml:space="preserve">
Relates to settlement costs for non-recurring litigation that is outside of the ordinary course of business</t>
        </r>
      </text>
    </comment>
    <comment ref="BI682" authorId="0" shapeId="0" xr:uid="{00000000-0006-0000-0100-000051000000}">
      <text>
        <r>
          <rPr>
            <b/>
            <sz val="9"/>
            <rFont val="Tahoma"/>
            <family val="2"/>
          </rPr>
          <t>Tegus (OG):</t>
        </r>
        <r>
          <rPr>
            <sz val="9"/>
            <rFont val="Tahoma"/>
            <family val="2"/>
          </rPr>
          <t xml:space="preserve">
pension and other postretirement remeasurement gains and losses</t>
        </r>
      </text>
    </comment>
    <comment ref="BJ682" authorId="0" shapeId="0" xr:uid="{00000000-0006-0000-0100-000052000000}">
      <text>
        <r>
          <rPr>
            <b/>
            <sz val="9"/>
            <rFont val="Tahoma"/>
            <family val="2"/>
          </rPr>
          <t>Tegus (OG):</t>
        </r>
        <r>
          <rPr>
            <sz val="9"/>
            <rFont val="Tahoma"/>
            <family val="2"/>
          </rPr>
          <t xml:space="preserve">
pension and other postretirement remeasurement gains and losses</t>
        </r>
      </text>
    </comment>
    <comment ref="BK682" authorId="0" shapeId="0" xr:uid="{00000000-0006-0000-0100-000053000000}">
      <text>
        <r>
          <rPr>
            <b/>
            <sz val="9"/>
            <rFont val="Tahoma"/>
            <family val="2"/>
          </rPr>
          <t>Tegus (OG):</t>
        </r>
        <r>
          <rPr>
            <sz val="9"/>
            <rFont val="Tahoma"/>
            <family val="2"/>
          </rPr>
          <t xml:space="preserve">
pension and other postretirement remeasurement gains and losses</t>
        </r>
      </text>
    </comment>
    <comment ref="BL682" authorId="0" shapeId="0" xr:uid="{00000000-0006-0000-0100-000054000000}">
      <text>
        <r>
          <rPr>
            <b/>
            <sz val="9"/>
            <rFont val="Tahoma"/>
            <family val="2"/>
          </rPr>
          <t>Tegus (OG):</t>
        </r>
        <r>
          <rPr>
            <sz val="9"/>
            <rFont val="Tahoma"/>
            <family val="2"/>
          </rPr>
          <t xml:space="preserve">
pension and other postretirement remeasurement gains and losses</t>
        </r>
      </text>
    </comment>
    <comment ref="BM682" authorId="0" shapeId="0" xr:uid="{00000000-0006-0000-0100-000055000000}">
      <text>
        <r>
          <rPr>
            <b/>
            <sz val="9"/>
            <rFont val="Tahoma"/>
            <family val="2"/>
          </rPr>
          <t>Tegus (OG):</t>
        </r>
        <r>
          <rPr>
            <sz val="9"/>
            <rFont val="Tahoma"/>
            <family val="2"/>
          </rPr>
          <t xml:space="preserve">
pension and other postretirement remeasurement gains and losses</t>
        </r>
      </text>
    </comment>
    <comment ref="BN682" authorId="0" shapeId="0" xr:uid="{00000000-0006-0000-0100-000056000000}">
      <text>
        <r>
          <rPr>
            <b/>
            <sz val="9"/>
            <rFont val="Tahoma"/>
            <family val="2"/>
          </rPr>
          <t>Tegus (OG):</t>
        </r>
        <r>
          <rPr>
            <sz val="9"/>
            <rFont val="Tahoma"/>
            <family val="2"/>
          </rPr>
          <t xml:space="preserve">
pension and other postretirement remeasurement gains and losses</t>
        </r>
      </text>
    </comment>
    <comment ref="BO682" authorId="0" shapeId="0" xr:uid="{00000000-0006-0000-0100-000057000000}">
      <text>
        <r>
          <rPr>
            <b/>
            <sz val="9"/>
            <rFont val="Tahoma"/>
            <family val="2"/>
          </rPr>
          <t>Tegus (OG):</t>
        </r>
        <r>
          <rPr>
            <sz val="9"/>
            <rFont val="Tahoma"/>
            <family val="2"/>
          </rPr>
          <t xml:space="preserve">
pension and other postretirement remeasurement gains and losses</t>
        </r>
      </text>
    </comment>
    <comment ref="BP682" authorId="0" shapeId="0" xr:uid="{00000000-0006-0000-0100-000058000000}">
      <text>
        <r>
          <rPr>
            <b/>
            <sz val="9"/>
            <rFont val="Tahoma"/>
            <family val="2"/>
          </rPr>
          <t>Tegus (OG):</t>
        </r>
        <r>
          <rPr>
            <sz val="9"/>
            <rFont val="Tahoma"/>
            <family val="2"/>
          </rPr>
          <t xml:space="preserve">
pension and other postretirement remeasurement gains and losses</t>
        </r>
      </text>
    </comment>
    <comment ref="BQ682" authorId="0" shapeId="0" xr:uid="{00000000-0006-0000-0100-000059000000}">
      <text>
        <r>
          <rPr>
            <b/>
            <sz val="9"/>
            <rFont val="Tahoma"/>
            <family val="2"/>
          </rPr>
          <t>Tegus (OG):</t>
        </r>
        <r>
          <rPr>
            <sz val="9"/>
            <rFont val="Tahoma"/>
            <family val="2"/>
          </rPr>
          <t xml:space="preserve">
pension and other postretirement remeasurement gains and losses</t>
        </r>
      </text>
    </comment>
    <comment ref="BR682" authorId="0" shapeId="0" xr:uid="{00000000-0006-0000-0100-00005A000000}">
      <text>
        <r>
          <rPr>
            <b/>
            <sz val="9"/>
            <rFont val="Tahoma"/>
            <family val="2"/>
          </rPr>
          <t>Tegus (OG):</t>
        </r>
        <r>
          <rPr>
            <sz val="9"/>
            <rFont val="Tahoma"/>
            <family val="2"/>
          </rPr>
          <t xml:space="preserve">
pension and other postretirement remeasurement gains and losses</t>
        </r>
      </text>
    </comment>
    <comment ref="AM706" authorId="0" shapeId="0" xr:uid="{00000000-0006-0000-0100-00005B000000}">
      <text>
        <r>
          <rPr>
            <b/>
            <sz val="9"/>
            <rFont val="Tahoma"/>
            <family val="2"/>
          </rPr>
          <t>Tegus (OG):</t>
        </r>
        <r>
          <rPr>
            <sz val="9"/>
            <rFont val="Tahoma"/>
            <family val="2"/>
          </rPr>
          <t xml:space="preserve">
reported as $2.58</t>
        </r>
      </text>
    </comment>
    <comment ref="AW706" authorId="0" shapeId="0" xr:uid="{00000000-0006-0000-0100-00005C000000}">
      <text>
        <r>
          <rPr>
            <b/>
            <sz val="9"/>
            <rFont val="Tahoma"/>
            <family val="2"/>
          </rPr>
          <t>Tegus (AHA):</t>
        </r>
        <r>
          <rPr>
            <sz val="9"/>
            <rFont val="Tahoma"/>
            <family val="2"/>
          </rPr>
          <t xml:space="preserve">
Reported as -0.75</t>
        </r>
      </text>
    </comment>
    <comment ref="AE710" authorId="0" shapeId="0" xr:uid="{00000000-0006-0000-0100-00005D000000}">
      <text>
        <r>
          <rPr>
            <b/>
            <sz val="9"/>
            <rFont val="Tahoma"/>
            <family val="2"/>
          </rPr>
          <t>Tegus (OG):</t>
        </r>
        <r>
          <rPr>
            <sz val="9"/>
            <rFont val="Tahoma"/>
            <family val="2"/>
          </rPr>
          <t xml:space="preserve">
equal to basic since net income is negative thus no dilution</t>
        </r>
      </text>
    </comment>
    <comment ref="BC711" authorId="0" shapeId="0" xr:uid="{00000000-0006-0000-0100-00005E000000}">
      <text>
        <r>
          <rPr>
            <b/>
            <sz val="9"/>
            <rFont val="Tahoma"/>
            <family val="2"/>
          </rPr>
          <t>Tegus (AS):</t>
        </r>
        <r>
          <rPr>
            <sz val="9"/>
            <rFont val="Tahoma"/>
            <family val="2"/>
          </rPr>
          <t xml:space="preserve">
In periods where a net loss or adjusted net loss is reported, weighted average shares for basic earnings per share is used for calculating diluted earnings per share because all dilutive potential common shares are anti-dilutive and are therefore excluded from the calculation. The excluded value was $1.5mm.</t>
        </r>
      </text>
    </comment>
    <comment ref="BE711" authorId="0" shapeId="0" xr:uid="{00000000-0006-0000-0100-00005F000000}">
      <text>
        <r>
          <rPr>
            <b/>
            <sz val="9"/>
            <rFont val="Tahoma"/>
            <family val="2"/>
          </rPr>
          <t>Tegus (AS):</t>
        </r>
        <r>
          <rPr>
            <sz val="9"/>
            <rFont val="Tahoma"/>
            <family val="2"/>
          </rPr>
          <t xml:space="preserve">
In periods where a net loss or adjusted net loss is reported, weighted average shares for basic earnings per share is used for calculating diluted earnings per share because all dilutive potential common shares are anti-dilutive and are therefore excluded from the calculation. The excluded value was 2.2mm.</t>
        </r>
      </text>
    </comment>
    <comment ref="A714" authorId="0" shapeId="0" xr:uid="{00000000-0006-0000-0100-000060000000}">
      <text>
        <r>
          <rPr>
            <b/>
            <sz val="9"/>
            <rFont val="Tahoma"/>
            <family val="2"/>
          </rPr>
          <t>Tegus (BZ):</t>
        </r>
        <r>
          <rPr>
            <sz val="9"/>
            <rFont val="Tahoma"/>
            <family val="2"/>
          </rPr>
          <t xml:space="preserve">
Use end of period shares from supplemental</t>
        </r>
      </text>
    </comment>
    <comment ref="A715" authorId="0" shapeId="0" xr:uid="{00000000-0006-0000-0100-000061000000}">
      <text>
        <r>
          <rPr>
            <b/>
            <sz val="9"/>
            <rFont val="Tahoma"/>
            <family val="2"/>
          </rPr>
          <t>Tegus (HW):</t>
        </r>
        <r>
          <rPr>
            <sz val="9"/>
            <rFont val="Tahoma"/>
            <family val="2"/>
          </rPr>
          <t xml:space="preserve">
Restricted Share Awards, estimated quarterly.</t>
        </r>
      </text>
    </comment>
    <comment ref="H715" authorId="1">
      <text>
        <r>
          <rPr>
            <b/>
            <sz val="9"/>
            <rFont val="Tahoma"/>
            <family val="2"/>
          </rPr>
          <t>Canalyst:</t>
        </r>
        <r>
          <rPr>
            <sz val="9"/>
            <rFont val="Tahoma"/>
            <family val="2"/>
          </rPr>
          <t xml:space="preserve">
Assumption by Canalyst</t>
        </r>
      </text>
    </comment>
    <comment ref="I715" authorId="1">
      <text>
        <r>
          <rPr>
            <b/>
            <sz val="9"/>
            <rFont val="Tahoma"/>
            <family val="2"/>
          </rPr>
          <t>Canalyst:</t>
        </r>
        <r>
          <rPr>
            <sz val="9"/>
            <rFont val="Tahoma"/>
            <family val="2"/>
          </rPr>
          <t xml:space="preserve">
Assumption by Canalyst</t>
        </r>
      </text>
    </comment>
    <comment ref="J715" authorId="1">
      <text>
        <r>
          <rPr>
            <b/>
            <sz val="9"/>
            <rFont val="Tahoma"/>
            <family val="2"/>
          </rPr>
          <t>Canalyst:</t>
        </r>
        <r>
          <rPr>
            <sz val="9"/>
            <rFont val="Tahoma"/>
            <family val="2"/>
          </rPr>
          <t xml:space="preserve">
Assumption by Canalyst</t>
        </r>
      </text>
    </comment>
    <comment ref="M715" authorId="1">
      <text>
        <r>
          <rPr>
            <b/>
            <sz val="9"/>
            <rFont val="Tahoma"/>
            <family val="2"/>
          </rPr>
          <t>Canalyst:</t>
        </r>
        <r>
          <rPr>
            <sz val="9"/>
            <rFont val="Tahoma"/>
            <family val="2"/>
          </rPr>
          <t xml:space="preserve">
Assumption by Canalyst</t>
        </r>
      </text>
    </comment>
    <comment ref="N715" authorId="1">
      <text>
        <r>
          <rPr>
            <b/>
            <sz val="9"/>
            <rFont val="Tahoma"/>
            <family val="2"/>
          </rPr>
          <t>Canalyst:</t>
        </r>
        <r>
          <rPr>
            <sz val="9"/>
            <rFont val="Tahoma"/>
            <family val="2"/>
          </rPr>
          <t xml:space="preserve">
Assumption by Canalyst</t>
        </r>
      </text>
    </comment>
    <comment ref="O715" authorId="1">
      <text>
        <r>
          <rPr>
            <b/>
            <sz val="9"/>
            <rFont val="Tahoma"/>
            <family val="2"/>
          </rPr>
          <t>Canalyst:</t>
        </r>
        <r>
          <rPr>
            <sz val="9"/>
            <rFont val="Tahoma"/>
            <family val="2"/>
          </rPr>
          <t xml:space="preserve">
Assumption by Canalyst</t>
        </r>
      </text>
    </comment>
    <comment ref="R715" authorId="1">
      <text>
        <r>
          <rPr>
            <b/>
            <sz val="9"/>
            <rFont val="Tahoma"/>
            <family val="2"/>
          </rPr>
          <t>Canalyst:</t>
        </r>
        <r>
          <rPr>
            <sz val="9"/>
            <rFont val="Tahoma"/>
            <family val="2"/>
          </rPr>
          <t xml:space="preserve">
Assumption by Canalyst</t>
        </r>
      </text>
    </comment>
    <comment ref="S715" authorId="1">
      <text>
        <r>
          <rPr>
            <b/>
            <sz val="9"/>
            <rFont val="Tahoma"/>
            <family val="2"/>
          </rPr>
          <t>Canalyst:</t>
        </r>
        <r>
          <rPr>
            <sz val="9"/>
            <rFont val="Tahoma"/>
            <family val="2"/>
          </rPr>
          <t xml:space="preserve">
Assumption by Canalyst</t>
        </r>
      </text>
    </comment>
    <comment ref="T715" authorId="1">
      <text>
        <r>
          <rPr>
            <b/>
            <sz val="9"/>
            <rFont val="Tahoma"/>
            <family val="2"/>
          </rPr>
          <t>Canalyst:</t>
        </r>
        <r>
          <rPr>
            <sz val="9"/>
            <rFont val="Tahoma"/>
            <family val="2"/>
          </rPr>
          <t xml:space="preserve">
Assumption by Canalyst</t>
        </r>
      </text>
    </comment>
    <comment ref="W715" authorId="1">
      <text>
        <r>
          <rPr>
            <b/>
            <sz val="9"/>
            <rFont val="Tahoma"/>
            <family val="2"/>
          </rPr>
          <t>Canalyst:</t>
        </r>
        <r>
          <rPr>
            <sz val="9"/>
            <rFont val="Tahoma"/>
            <family val="2"/>
          </rPr>
          <t xml:space="preserve">
Assumption by Canalyst</t>
        </r>
      </text>
    </comment>
    <comment ref="X715" authorId="1">
      <text>
        <r>
          <rPr>
            <b/>
            <sz val="9"/>
            <rFont val="Tahoma"/>
            <family val="2"/>
          </rPr>
          <t>Canalyst:</t>
        </r>
        <r>
          <rPr>
            <sz val="9"/>
            <rFont val="Tahoma"/>
            <family val="2"/>
          </rPr>
          <t xml:space="preserve">
Assumption by Canalyst</t>
        </r>
      </text>
    </comment>
    <comment ref="Y715" authorId="1">
      <text>
        <r>
          <rPr>
            <b/>
            <sz val="9"/>
            <rFont val="Tahoma"/>
            <family val="2"/>
          </rPr>
          <t>Canalyst:</t>
        </r>
        <r>
          <rPr>
            <sz val="9"/>
            <rFont val="Tahoma"/>
            <family val="2"/>
          </rPr>
          <t xml:space="preserve">
Assumption by Canalyst</t>
        </r>
      </text>
    </comment>
    <comment ref="AB715" authorId="1">
      <text>
        <r>
          <rPr>
            <b/>
            <sz val="9"/>
            <rFont val="Tahoma"/>
            <family val="2"/>
          </rPr>
          <t>Canalyst:</t>
        </r>
        <r>
          <rPr>
            <sz val="9"/>
            <rFont val="Tahoma"/>
            <family val="2"/>
          </rPr>
          <t xml:space="preserve">
Assumption by Canalyst</t>
        </r>
      </text>
    </comment>
    <comment ref="AC715" authorId="1">
      <text>
        <r>
          <rPr>
            <b/>
            <sz val="9"/>
            <rFont val="Tahoma"/>
            <family val="2"/>
          </rPr>
          <t>Canalyst:</t>
        </r>
        <r>
          <rPr>
            <sz val="9"/>
            <rFont val="Tahoma"/>
            <family val="2"/>
          </rPr>
          <t xml:space="preserve">
Assumption by Canalyst</t>
        </r>
      </text>
    </comment>
    <comment ref="AD715" authorId="1">
      <text>
        <r>
          <rPr>
            <b/>
            <sz val="9"/>
            <rFont val="Tahoma"/>
            <family val="2"/>
          </rPr>
          <t>Canalyst:</t>
        </r>
        <r>
          <rPr>
            <sz val="9"/>
            <rFont val="Tahoma"/>
            <family val="2"/>
          </rPr>
          <t xml:space="preserve">
Assumption by Canalyst</t>
        </r>
      </text>
    </comment>
    <comment ref="AG715" authorId="1">
      <text>
        <r>
          <rPr>
            <b/>
            <sz val="9"/>
            <rFont val="Tahoma"/>
            <family val="2"/>
          </rPr>
          <t>Canalyst:</t>
        </r>
        <r>
          <rPr>
            <sz val="9"/>
            <rFont val="Tahoma"/>
            <family val="2"/>
          </rPr>
          <t xml:space="preserve">
Assumption by Canalyst</t>
        </r>
      </text>
    </comment>
    <comment ref="AH715" authorId="1">
      <text>
        <r>
          <rPr>
            <b/>
            <sz val="9"/>
            <rFont val="Tahoma"/>
            <family val="2"/>
          </rPr>
          <t>Canalyst:</t>
        </r>
        <r>
          <rPr>
            <sz val="9"/>
            <rFont val="Tahoma"/>
            <family val="2"/>
          </rPr>
          <t xml:space="preserve">
Assumption by Canalyst</t>
        </r>
      </text>
    </comment>
    <comment ref="AI715" authorId="1">
      <text>
        <r>
          <rPr>
            <b/>
            <sz val="9"/>
            <rFont val="Tahoma"/>
            <family val="2"/>
          </rPr>
          <t>Canalyst:</t>
        </r>
        <r>
          <rPr>
            <sz val="9"/>
            <rFont val="Tahoma"/>
            <family val="2"/>
          </rPr>
          <t xml:space="preserve">
Assumption by Canalyst</t>
        </r>
      </text>
    </comment>
    <comment ref="AL715" authorId="1">
      <text>
        <r>
          <rPr>
            <b/>
            <sz val="9"/>
            <rFont val="Tahoma"/>
            <family val="2"/>
          </rPr>
          <t>Canalyst:</t>
        </r>
        <r>
          <rPr>
            <sz val="9"/>
            <rFont val="Tahoma"/>
            <family val="2"/>
          </rPr>
          <t xml:space="preserve">
Assumption by Canalyst</t>
        </r>
      </text>
    </comment>
    <comment ref="AM715" authorId="1">
      <text>
        <r>
          <rPr>
            <b/>
            <sz val="9"/>
            <rFont val="Tahoma"/>
            <family val="2"/>
          </rPr>
          <t>Canalyst:</t>
        </r>
        <r>
          <rPr>
            <sz val="9"/>
            <rFont val="Tahoma"/>
            <family val="2"/>
          </rPr>
          <t xml:space="preserve">
Assumption by Canalyst</t>
        </r>
      </text>
    </comment>
    <comment ref="AN715" authorId="1">
      <text>
        <r>
          <rPr>
            <b/>
            <sz val="9"/>
            <rFont val="Tahoma"/>
            <family val="2"/>
          </rPr>
          <t>Canalyst:</t>
        </r>
        <r>
          <rPr>
            <sz val="9"/>
            <rFont val="Tahoma"/>
            <family val="2"/>
          </rPr>
          <t xml:space="preserve">
Assumption by Canalyst</t>
        </r>
      </text>
    </comment>
    <comment ref="AQ715" authorId="1">
      <text>
        <r>
          <rPr>
            <b/>
            <sz val="9"/>
            <rFont val="Tahoma"/>
            <family val="2"/>
          </rPr>
          <t>Canalyst:</t>
        </r>
        <r>
          <rPr>
            <sz val="9"/>
            <rFont val="Tahoma"/>
            <family val="2"/>
          </rPr>
          <t xml:space="preserve">
Assumption by Canalyst</t>
        </r>
      </text>
    </comment>
    <comment ref="AR715" authorId="1">
      <text>
        <r>
          <rPr>
            <b/>
            <sz val="9"/>
            <rFont val="Tahoma"/>
            <family val="2"/>
          </rPr>
          <t>Canalyst:</t>
        </r>
        <r>
          <rPr>
            <sz val="9"/>
            <rFont val="Tahoma"/>
            <family val="2"/>
          </rPr>
          <t xml:space="preserve">
Assumption by Canalyst</t>
        </r>
      </text>
    </comment>
    <comment ref="AS715" authorId="1">
      <text>
        <r>
          <rPr>
            <b/>
            <sz val="9"/>
            <rFont val="Tahoma"/>
            <family val="2"/>
          </rPr>
          <t>Canalyst:</t>
        </r>
        <r>
          <rPr>
            <sz val="9"/>
            <rFont val="Tahoma"/>
            <family val="2"/>
          </rPr>
          <t xml:space="preserve">
Assumption by Canalyst</t>
        </r>
      </text>
    </comment>
    <comment ref="AV715" authorId="1">
      <text>
        <r>
          <rPr>
            <b/>
            <sz val="9"/>
            <rFont val="Tahoma"/>
            <family val="2"/>
          </rPr>
          <t>Canalyst:</t>
        </r>
        <r>
          <rPr>
            <sz val="9"/>
            <rFont val="Tahoma"/>
            <family val="2"/>
          </rPr>
          <t xml:space="preserve">
Assumption by Canalyst</t>
        </r>
      </text>
    </comment>
    <comment ref="AW715" authorId="1">
      <text>
        <r>
          <rPr>
            <b/>
            <sz val="9"/>
            <rFont val="Tahoma"/>
            <family val="2"/>
          </rPr>
          <t>Canalyst:</t>
        </r>
        <r>
          <rPr>
            <sz val="9"/>
            <rFont val="Tahoma"/>
            <family val="2"/>
          </rPr>
          <t xml:space="preserve">
Assumption by Canalyst</t>
        </r>
      </text>
    </comment>
    <comment ref="AX715" authorId="1">
      <text>
        <r>
          <rPr>
            <b/>
            <sz val="9"/>
            <rFont val="Tahoma"/>
            <family val="2"/>
          </rPr>
          <t>Canalyst:</t>
        </r>
        <r>
          <rPr>
            <sz val="9"/>
            <rFont val="Tahoma"/>
            <family val="2"/>
          </rPr>
          <t xml:space="preserve">
Assumption by Canalyst</t>
        </r>
      </text>
    </comment>
    <comment ref="BA715" authorId="1">
      <text>
        <r>
          <rPr>
            <b/>
            <sz val="9"/>
            <rFont val="Tahoma"/>
            <family val="2"/>
          </rPr>
          <t>Canalyst:</t>
        </r>
        <r>
          <rPr>
            <sz val="9"/>
            <rFont val="Tahoma"/>
            <family val="2"/>
          </rPr>
          <t xml:space="preserve">
Assumption by Canalyst</t>
        </r>
      </text>
    </comment>
    <comment ref="BB715" authorId="1">
      <text>
        <r>
          <rPr>
            <b/>
            <sz val="9"/>
            <rFont val="Tahoma"/>
            <family val="2"/>
          </rPr>
          <t>Canalyst:</t>
        </r>
        <r>
          <rPr>
            <sz val="9"/>
            <rFont val="Tahoma"/>
            <family val="2"/>
          </rPr>
          <t xml:space="preserve">
Assumption by Canalyst</t>
        </r>
      </text>
    </comment>
    <comment ref="BC715" authorId="1">
      <text>
        <r>
          <rPr>
            <b/>
            <sz val="9"/>
            <rFont val="Tahoma"/>
            <family val="2"/>
          </rPr>
          <t>Canalyst:</t>
        </r>
        <r>
          <rPr>
            <sz val="9"/>
            <rFont val="Tahoma"/>
            <family val="2"/>
          </rPr>
          <t xml:space="preserve">
Assumption by Canalyst</t>
        </r>
      </text>
    </comment>
    <comment ref="BF715" authorId="1">
      <text>
        <r>
          <rPr>
            <b/>
            <sz val="9"/>
            <rFont val="Tahoma"/>
            <family val="2"/>
          </rPr>
          <t>Canalyst:</t>
        </r>
        <r>
          <rPr>
            <sz val="9"/>
            <rFont val="Tahoma"/>
            <family val="2"/>
          </rPr>
          <t xml:space="preserve">
Assumption by Canalyst</t>
        </r>
      </text>
    </comment>
    <comment ref="BG715" authorId="1">
      <text>
        <r>
          <rPr>
            <b/>
            <sz val="9"/>
            <rFont val="Tahoma"/>
            <family val="2"/>
          </rPr>
          <t>Canalyst:</t>
        </r>
        <r>
          <rPr>
            <sz val="9"/>
            <rFont val="Tahoma"/>
            <family val="2"/>
          </rPr>
          <t xml:space="preserve">
Assumption by Canalyst</t>
        </r>
      </text>
    </comment>
    <comment ref="BH715" authorId="1">
      <text>
        <r>
          <rPr>
            <b/>
            <sz val="9"/>
            <rFont val="Tahoma"/>
            <family val="2"/>
          </rPr>
          <t>Canalyst:</t>
        </r>
        <r>
          <rPr>
            <sz val="9"/>
            <rFont val="Tahoma"/>
            <family val="2"/>
          </rPr>
          <t xml:space="preserve">
Assumption by Canalyst</t>
        </r>
      </text>
    </comment>
    <comment ref="A727" authorId="0" shapeId="0" xr:uid="{00000000-0006-0000-0100-000062000000}">
      <text>
        <r>
          <rPr>
            <b/>
            <sz val="9"/>
            <rFont val="Tahoma"/>
            <family val="2"/>
          </rPr>
          <t>Tegus:</t>
        </r>
        <r>
          <rPr>
            <sz val="9"/>
            <rFont val="Tahoma"/>
            <family val="2"/>
          </rPr>
          <t xml:space="preserve">
In periods where EPS is negative, this amount is calculated using the closest prior period where EPS was positive.</t>
        </r>
      </text>
    </comment>
    <comment ref="AV941" authorId="0" shapeId="0" xr:uid="{00000000-0006-0000-0100-000063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The BS was not restated due to unavailability of data</t>
        </r>
      </text>
    </comment>
    <comment ref="AW941" authorId="0" shapeId="0" xr:uid="{00000000-0006-0000-0100-000064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The BS was not restated due to unavailability of data</t>
        </r>
      </text>
    </comment>
    <comment ref="AX941" authorId="0" shapeId="0" xr:uid="{00000000-0006-0000-0100-000065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The BS was not restated due to unavailability of data</t>
        </r>
      </text>
    </comment>
    <comment ref="AY941" authorId="0" shapeId="0" xr:uid="{00000000-0006-0000-0100-000066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The BS was not restated due to unavailability of data</t>
        </r>
      </text>
    </comment>
    <comment ref="AZ941" authorId="0" shapeId="0" xr:uid="{00000000-0006-0000-0100-000067000000}">
      <text>
        <r>
          <rPr>
            <b/>
            <sz val="9"/>
            <rFont val="Tahoma"/>
            <family val="2"/>
          </rPr>
          <t>Tegus (AHA):</t>
        </r>
        <r>
          <rPr>
            <sz val="9"/>
            <rFont val="Tahoma"/>
            <family val="2"/>
          </rPr>
          <t xml:space="preserve">
The Company reclassified results for Ivantage and non-proprietary life and annuity products, and lender-placed products and related services from Homeowners to Other business lines. Further, Company adopted the new accounting standards for long-duration insurance contracts January 1, 2023. The BS was not restated due to unavailability of data</t>
        </r>
      </text>
    </comment>
    <comment ref="Q994" authorId="0" shapeId="0" xr:uid="{00000000-0006-0000-0100-000068000000}">
      <text>
        <r>
          <rPr>
            <b/>
            <sz val="9"/>
            <rFont val="Tahoma"/>
            <family val="2"/>
          </rPr>
          <t>Tegus (OG):</t>
        </r>
        <r>
          <rPr>
            <sz val="9"/>
            <rFont val="Tahoma"/>
            <family val="2"/>
          </rPr>
          <t xml:space="preserve">
discrepancy due to intersegment eliminations</t>
        </r>
      </text>
    </comment>
    <comment ref="V994" authorId="0" shapeId="0" xr:uid="{00000000-0006-0000-0100-000069000000}">
      <text>
        <r>
          <rPr>
            <b/>
            <sz val="9"/>
            <rFont val="Tahoma"/>
            <family val="2"/>
          </rPr>
          <t>Tegus (OG):</t>
        </r>
        <r>
          <rPr>
            <sz val="9"/>
            <rFont val="Tahoma"/>
            <family val="2"/>
          </rPr>
          <t xml:space="preserve">
discrepancy due to intersegment eliminations</t>
        </r>
      </text>
    </comment>
    <comment ref="W994" authorId="0" shapeId="0" xr:uid="{00000000-0006-0000-0100-00006A000000}">
      <text>
        <r>
          <rPr>
            <b/>
            <sz val="9"/>
            <rFont val="Tahoma"/>
            <family val="2"/>
          </rPr>
          <t>Tegus (OG):</t>
        </r>
        <r>
          <rPr>
            <sz val="9"/>
            <rFont val="Tahoma"/>
            <family val="2"/>
          </rPr>
          <t xml:space="preserve">
discrepancy due to intersegment eliminations</t>
        </r>
      </text>
    </comment>
    <comment ref="X994" authorId="0" shapeId="0" xr:uid="{00000000-0006-0000-0100-00006B000000}">
      <text>
        <r>
          <rPr>
            <b/>
            <sz val="9"/>
            <rFont val="Tahoma"/>
            <family val="2"/>
          </rPr>
          <t>Tegus (OG):</t>
        </r>
        <r>
          <rPr>
            <sz val="9"/>
            <rFont val="Tahoma"/>
            <family val="2"/>
          </rPr>
          <t xml:space="preserve">
discrepancy due to intersegment eliminations</t>
        </r>
      </text>
    </comment>
    <comment ref="Y994" authorId="0" shapeId="0" xr:uid="{00000000-0006-0000-0100-00006C000000}">
      <text>
        <r>
          <rPr>
            <b/>
            <sz val="9"/>
            <rFont val="Tahoma"/>
            <family val="2"/>
          </rPr>
          <t>Tegus (OG):</t>
        </r>
        <r>
          <rPr>
            <sz val="9"/>
            <rFont val="Tahoma"/>
            <family val="2"/>
          </rPr>
          <t xml:space="preserve">
discrepancy due to intersegment eliminations</t>
        </r>
      </text>
    </comment>
    <comment ref="Z994" authorId="0" shapeId="0" xr:uid="{00000000-0006-0000-0100-00006D000000}">
      <text>
        <r>
          <rPr>
            <b/>
            <sz val="9"/>
            <rFont val="Tahoma"/>
            <family val="2"/>
          </rPr>
          <t>Tegus (OG):</t>
        </r>
        <r>
          <rPr>
            <sz val="9"/>
            <rFont val="Tahoma"/>
            <family val="2"/>
          </rPr>
          <t xml:space="preserve">
discrepancy due to intersegment eliminations</t>
        </r>
      </text>
    </comment>
    <comment ref="AA994" authorId="0" shapeId="0" xr:uid="{00000000-0006-0000-0100-00006E000000}">
      <text>
        <r>
          <rPr>
            <b/>
            <sz val="9"/>
            <rFont val="Tahoma"/>
            <family val="2"/>
          </rPr>
          <t>Tegus (OG):</t>
        </r>
        <r>
          <rPr>
            <sz val="9"/>
            <rFont val="Tahoma"/>
            <family val="2"/>
          </rPr>
          <t xml:space="preserve">
discrepancy due to intersegment eliminations</t>
        </r>
      </text>
    </comment>
    <comment ref="AB994" authorId="0" shapeId="0" xr:uid="{00000000-0006-0000-0100-00006F000000}">
      <text>
        <r>
          <rPr>
            <b/>
            <sz val="9"/>
            <rFont val="Tahoma"/>
            <family val="2"/>
          </rPr>
          <t>Tegus (OG):</t>
        </r>
        <r>
          <rPr>
            <sz val="9"/>
            <rFont val="Tahoma"/>
            <family val="2"/>
          </rPr>
          <t xml:space="preserve">
discrepancy due to intersegment eliminations</t>
        </r>
      </text>
    </comment>
    <comment ref="AC994" authorId="0" shapeId="0" xr:uid="{00000000-0006-0000-0100-000070000000}">
      <text>
        <r>
          <rPr>
            <b/>
            <sz val="9"/>
            <rFont val="Tahoma"/>
            <family val="2"/>
          </rPr>
          <t>Tegus (OG):</t>
        </r>
        <r>
          <rPr>
            <sz val="9"/>
            <rFont val="Tahoma"/>
            <family val="2"/>
          </rPr>
          <t xml:space="preserve">
discrepancy due to intersegment eliminations</t>
        </r>
      </text>
    </comment>
    <comment ref="AD994" authorId="0" shapeId="0" xr:uid="{00000000-0006-0000-0100-000071000000}">
      <text>
        <r>
          <rPr>
            <b/>
            <sz val="9"/>
            <rFont val="Tahoma"/>
            <family val="2"/>
          </rPr>
          <t>Tegus (OG):</t>
        </r>
        <r>
          <rPr>
            <sz val="9"/>
            <rFont val="Tahoma"/>
            <family val="2"/>
          </rPr>
          <t xml:space="preserve">
discrepancy due to intersegment eliminations</t>
        </r>
      </text>
    </comment>
    <comment ref="AE994" authorId="0" shapeId="0" xr:uid="{00000000-0006-0000-0100-000072000000}">
      <text>
        <r>
          <rPr>
            <b/>
            <sz val="9"/>
            <rFont val="Tahoma"/>
            <family val="2"/>
          </rPr>
          <t>Tegus (OG):</t>
        </r>
        <r>
          <rPr>
            <sz val="9"/>
            <rFont val="Tahoma"/>
            <family val="2"/>
          </rPr>
          <t xml:space="preserve">
discrepancy due to intersegment eliminations</t>
        </r>
      </text>
    </comment>
    <comment ref="AF994" authorId="0" shapeId="0" xr:uid="{00000000-0006-0000-0100-000073000000}">
      <text>
        <r>
          <rPr>
            <b/>
            <sz val="9"/>
            <rFont val="Tahoma"/>
            <family val="2"/>
          </rPr>
          <t>Tegus (OG):</t>
        </r>
        <r>
          <rPr>
            <sz val="9"/>
            <rFont val="Tahoma"/>
            <family val="2"/>
          </rPr>
          <t xml:space="preserve">
discrepancy due to intersegment eliminations</t>
        </r>
      </text>
    </comment>
    <comment ref="AG994" authorId="0" shapeId="0" xr:uid="{00000000-0006-0000-0100-000074000000}">
      <text>
        <r>
          <rPr>
            <b/>
            <sz val="9"/>
            <rFont val="Tahoma"/>
            <family val="2"/>
          </rPr>
          <t>Tegus (OG):</t>
        </r>
        <r>
          <rPr>
            <sz val="9"/>
            <rFont val="Tahoma"/>
            <family val="2"/>
          </rPr>
          <t xml:space="preserve">
discrepancy due to intersegment eliminations</t>
        </r>
      </text>
    </comment>
    <comment ref="AH994" authorId="0" shapeId="0" xr:uid="{00000000-0006-0000-0100-000075000000}">
      <text>
        <r>
          <rPr>
            <b/>
            <sz val="9"/>
            <rFont val="Tahoma"/>
            <family val="2"/>
          </rPr>
          <t>Tegus (OG):</t>
        </r>
        <r>
          <rPr>
            <sz val="9"/>
            <rFont val="Tahoma"/>
            <family val="2"/>
          </rPr>
          <t xml:space="preserve">
discrepancy due to intersegment eliminations</t>
        </r>
      </text>
    </comment>
    <comment ref="AI994" authorId="0" shapeId="0" xr:uid="{00000000-0006-0000-0100-000076000000}">
      <text>
        <r>
          <rPr>
            <b/>
            <sz val="9"/>
            <rFont val="Tahoma"/>
            <family val="2"/>
          </rPr>
          <t>Tegus (OG):</t>
        </r>
        <r>
          <rPr>
            <sz val="9"/>
            <rFont val="Tahoma"/>
            <family val="2"/>
          </rPr>
          <t xml:space="preserve">
discrepancy due to intersegment eliminations</t>
        </r>
      </text>
    </comment>
    <comment ref="AJ994" authorId="0" shapeId="0" xr:uid="{00000000-0006-0000-0100-000077000000}">
      <text>
        <r>
          <rPr>
            <b/>
            <sz val="9"/>
            <rFont val="Tahoma"/>
            <family val="2"/>
          </rPr>
          <t>Tegus (OG):</t>
        </r>
        <r>
          <rPr>
            <sz val="9"/>
            <rFont val="Tahoma"/>
            <family val="2"/>
          </rPr>
          <t xml:space="preserve">
discrepancy due to intersegment eliminations</t>
        </r>
      </text>
    </comment>
    <comment ref="AK994" authorId="0" shapeId="0" xr:uid="{00000000-0006-0000-0100-000078000000}">
      <text>
        <r>
          <rPr>
            <b/>
            <sz val="9"/>
            <rFont val="Tahoma"/>
            <family val="2"/>
          </rPr>
          <t>Tegus (OG):</t>
        </r>
        <r>
          <rPr>
            <sz val="9"/>
            <rFont val="Tahoma"/>
            <family val="2"/>
          </rPr>
          <t xml:space="preserve">
discrepancy due to intersegment eliminations</t>
        </r>
      </text>
    </comment>
    <comment ref="AL994" authorId="0" shapeId="0" xr:uid="{00000000-0006-0000-0100-000079000000}">
      <text>
        <r>
          <rPr>
            <b/>
            <sz val="9"/>
            <rFont val="Tahoma"/>
            <family val="2"/>
          </rPr>
          <t>Tegus (OG):</t>
        </r>
        <r>
          <rPr>
            <sz val="9"/>
            <rFont val="Tahoma"/>
            <family val="2"/>
          </rPr>
          <t xml:space="preserve">
discrepancy due to intersegment eliminations</t>
        </r>
      </text>
    </comment>
    <comment ref="AM994" authorId="0" shapeId="0" xr:uid="{00000000-0006-0000-0100-00007A000000}">
      <text>
        <r>
          <rPr>
            <b/>
            <sz val="9"/>
            <rFont val="Tahoma"/>
            <family val="2"/>
          </rPr>
          <t>Tegus (OG):</t>
        </r>
        <r>
          <rPr>
            <sz val="9"/>
            <rFont val="Tahoma"/>
            <family val="2"/>
          </rPr>
          <t xml:space="preserve">
discrepancy due to intersegment eliminations</t>
        </r>
      </text>
    </comment>
    <comment ref="AN994" authorId="0" shapeId="0" xr:uid="{00000000-0006-0000-0100-00007B000000}">
      <text>
        <r>
          <rPr>
            <b/>
            <sz val="9"/>
            <rFont val="Tahoma"/>
            <family val="2"/>
          </rPr>
          <t>Tegus (OG):</t>
        </r>
        <r>
          <rPr>
            <sz val="9"/>
            <rFont val="Tahoma"/>
            <family val="2"/>
          </rPr>
          <t xml:space="preserve">
discrepancy due to intersegment eliminations</t>
        </r>
      </text>
    </comment>
    <comment ref="AO994" authorId="0" shapeId="0" xr:uid="{00000000-0006-0000-0100-00007C000000}">
      <text>
        <r>
          <rPr>
            <b/>
            <sz val="9"/>
            <rFont val="Tahoma"/>
            <family val="2"/>
          </rPr>
          <t>Tegus (OG):</t>
        </r>
        <r>
          <rPr>
            <sz val="9"/>
            <rFont val="Tahoma"/>
            <family val="2"/>
          </rPr>
          <t xml:space="preserve">
discrepancy due to intersegment eliminations</t>
        </r>
      </text>
    </comment>
    <comment ref="AP994" authorId="0" shapeId="0" xr:uid="{00000000-0006-0000-0100-00007D000000}">
      <text>
        <r>
          <rPr>
            <b/>
            <sz val="9"/>
            <rFont val="Tahoma"/>
            <family val="2"/>
          </rPr>
          <t>Tegus (OG):</t>
        </r>
        <r>
          <rPr>
            <sz val="9"/>
            <rFont val="Tahoma"/>
            <family val="2"/>
          </rPr>
          <t xml:space="preserve">
discrepancy due to intersegment eliminations</t>
        </r>
      </text>
    </comment>
    <comment ref="AQ994" authorId="0" shapeId="0" xr:uid="{00000000-0006-0000-0100-00007E000000}">
      <text>
        <r>
          <rPr>
            <b/>
            <sz val="9"/>
            <rFont val="Tahoma"/>
            <family val="2"/>
          </rPr>
          <t>Tegus (OG):</t>
        </r>
        <r>
          <rPr>
            <sz val="9"/>
            <rFont val="Tahoma"/>
            <family val="2"/>
          </rPr>
          <t xml:space="preserve">
discrepancy due to intersegment eliminations</t>
        </r>
      </text>
    </comment>
    <comment ref="AR994" authorId="0" shapeId="0" xr:uid="{00000000-0006-0000-0100-00007F000000}">
      <text>
        <r>
          <rPr>
            <b/>
            <sz val="9"/>
            <rFont val="Tahoma"/>
            <family val="2"/>
          </rPr>
          <t>Tegus (OG):</t>
        </r>
        <r>
          <rPr>
            <sz val="9"/>
            <rFont val="Tahoma"/>
            <family val="2"/>
          </rPr>
          <t xml:space="preserve">
discrepancy due to intersegment eliminations</t>
        </r>
      </text>
    </comment>
    <comment ref="AS994" authorId="0" shapeId="0" xr:uid="{00000000-0006-0000-0100-000080000000}">
      <text>
        <r>
          <rPr>
            <b/>
            <sz val="9"/>
            <rFont val="Tahoma"/>
            <family val="2"/>
          </rPr>
          <t>Tegus (OG):</t>
        </r>
        <r>
          <rPr>
            <sz val="9"/>
            <rFont val="Tahoma"/>
            <family val="2"/>
          </rPr>
          <t xml:space="preserve">
discrepancy due to intersegment eliminations</t>
        </r>
      </text>
    </comment>
    <comment ref="AT994" authorId="0" shapeId="0" xr:uid="{00000000-0006-0000-0100-000081000000}">
      <text>
        <r>
          <rPr>
            <b/>
            <sz val="9"/>
            <rFont val="Tahoma"/>
            <family val="2"/>
          </rPr>
          <t>Tegus (OG):</t>
        </r>
        <r>
          <rPr>
            <sz val="9"/>
            <rFont val="Tahoma"/>
            <family val="2"/>
          </rPr>
          <t xml:space="preserve">
discrepancy due to intersegment eliminations</t>
        </r>
      </text>
    </comment>
    <comment ref="AU994" authorId="0" shapeId="0" xr:uid="{00000000-0006-0000-0100-000082000000}">
      <text>
        <r>
          <rPr>
            <b/>
            <sz val="9"/>
            <rFont val="Tahoma"/>
            <family val="2"/>
          </rPr>
          <t>Tegus (OG):</t>
        </r>
        <r>
          <rPr>
            <sz val="9"/>
            <rFont val="Tahoma"/>
            <family val="2"/>
          </rPr>
          <t xml:space="preserve">
discrepancy due to intersegment eliminations</t>
        </r>
      </text>
    </comment>
    <comment ref="AV994" authorId="0" shapeId="0" xr:uid="{00000000-0006-0000-0100-000083000000}">
      <text>
        <r>
          <rPr>
            <b/>
            <sz val="9"/>
            <rFont val="Tahoma"/>
            <family val="2"/>
          </rPr>
          <t>Tegus (OG):</t>
        </r>
        <r>
          <rPr>
            <sz val="9"/>
            <rFont val="Tahoma"/>
            <family val="2"/>
          </rPr>
          <t xml:space="preserve">
discrepancy due to intersegment eliminations</t>
        </r>
      </text>
    </comment>
    <comment ref="AW994" authorId="0" shapeId="0" xr:uid="{00000000-0006-0000-0100-000084000000}">
      <text>
        <r>
          <rPr>
            <b/>
            <sz val="9"/>
            <rFont val="Tahoma"/>
            <family val="2"/>
          </rPr>
          <t>Tegus (OG):</t>
        </r>
        <r>
          <rPr>
            <sz val="9"/>
            <rFont val="Tahoma"/>
            <family val="2"/>
          </rPr>
          <t xml:space="preserve">
discrepancy due to intersegment eliminations</t>
        </r>
      </text>
    </comment>
    <comment ref="AX994" authorId="0" shapeId="0" xr:uid="{00000000-0006-0000-0100-000085000000}">
      <text>
        <r>
          <rPr>
            <b/>
            <sz val="9"/>
            <rFont val="Tahoma"/>
            <family val="2"/>
          </rPr>
          <t>Tegus (HN):</t>
        </r>
        <r>
          <rPr>
            <sz val="9"/>
            <rFont val="Tahoma"/>
            <family val="2"/>
          </rPr>
          <t xml:space="preserve">
discrepancy due to intersegment eliminations</t>
        </r>
      </text>
    </comment>
    <comment ref="AY994" authorId="0" shapeId="0" xr:uid="{00000000-0006-0000-0100-000086000000}">
      <text>
        <r>
          <rPr>
            <b/>
            <sz val="9"/>
            <rFont val="Tahoma"/>
            <family val="2"/>
          </rPr>
          <t>Tegus (HN):</t>
        </r>
        <r>
          <rPr>
            <sz val="9"/>
            <rFont val="Tahoma"/>
            <family val="2"/>
          </rPr>
          <t xml:space="preserve">
discrepancy due to intersegment eliminations</t>
        </r>
      </text>
    </comment>
    <comment ref="AZ994" authorId="0" shapeId="0" xr:uid="{00000000-0006-0000-0100-000087000000}">
      <text>
        <r>
          <rPr>
            <b/>
            <sz val="9"/>
            <rFont val="Tahoma"/>
            <family val="2"/>
          </rPr>
          <t>Tegus (HN):</t>
        </r>
        <r>
          <rPr>
            <sz val="9"/>
            <rFont val="Tahoma"/>
            <family val="2"/>
          </rPr>
          <t xml:space="preserve">
discrepancy due to intersegment eliminations</t>
        </r>
      </text>
    </comment>
    <comment ref="BA994" authorId="0" shapeId="0" xr:uid="{00000000-0006-0000-0100-000088000000}">
      <text>
        <r>
          <rPr>
            <b/>
            <sz val="9"/>
            <rFont val="Tahoma"/>
            <family val="2"/>
          </rPr>
          <t>Tegus (HN):</t>
        </r>
        <r>
          <rPr>
            <sz val="9"/>
            <rFont val="Tahoma"/>
            <family val="2"/>
          </rPr>
          <t xml:space="preserve">
discrepancy due to intersegment eliminations</t>
        </r>
      </text>
    </comment>
    <comment ref="BB994" authorId="0" shapeId="0" xr:uid="{00000000-0006-0000-0100-000089000000}">
      <text>
        <r>
          <rPr>
            <b/>
            <sz val="9"/>
            <rFont val="Tahoma"/>
            <family val="2"/>
          </rPr>
          <t>Tegus (AS):</t>
        </r>
        <r>
          <rPr>
            <sz val="9"/>
            <rFont val="Tahoma"/>
            <family val="2"/>
          </rPr>
          <t xml:space="preserve">
discrepancy due to intersegment eliminations</t>
        </r>
      </text>
    </comment>
    <comment ref="BC994" authorId="0" shapeId="0" xr:uid="{00000000-0006-0000-0100-00008A000000}">
      <text>
        <r>
          <rPr>
            <b/>
            <sz val="9"/>
            <rFont val="Tahoma"/>
            <family val="2"/>
          </rPr>
          <t>Tegus (SHK):</t>
        </r>
        <r>
          <rPr>
            <sz val="9"/>
            <rFont val="Tahoma"/>
            <family val="2"/>
          </rPr>
          <t xml:space="preserve">
discrepancy due to intersegment eliminations</t>
        </r>
      </text>
    </comment>
    <comment ref="BD994" authorId="0" shapeId="0" xr:uid="{00000000-0006-0000-0100-00008B000000}">
      <text>
        <r>
          <rPr>
            <b/>
            <sz val="9"/>
            <rFont val="Tahoma"/>
            <family val="2"/>
          </rPr>
          <t>Tegus (AHA):</t>
        </r>
        <r>
          <rPr>
            <sz val="9"/>
            <rFont val="Tahoma"/>
            <family val="2"/>
          </rPr>
          <t xml:space="preserve">
discrepancy due to intersegment eliminations</t>
        </r>
      </text>
    </comment>
    <comment ref="BE994" authorId="0" shapeId="0" xr:uid="{00000000-0006-0000-0100-00008C000000}">
      <text>
        <r>
          <rPr>
            <b/>
            <sz val="9"/>
            <rFont val="Tahoma"/>
            <family val="2"/>
          </rPr>
          <t>Tegus (AHA):</t>
        </r>
        <r>
          <rPr>
            <sz val="9"/>
            <rFont val="Tahoma"/>
            <family val="2"/>
          </rPr>
          <t xml:space="preserve">
discrepancy due to intersegment eliminations</t>
        </r>
      </text>
    </comment>
    <comment ref="BF994" authorId="0" shapeId="0" xr:uid="{00000000-0006-0000-0100-00008D000000}">
      <text>
        <r>
          <rPr>
            <b/>
            <sz val="9"/>
            <rFont val="Tahoma"/>
            <family val="2"/>
          </rPr>
          <t>Tegus (AHA):</t>
        </r>
        <r>
          <rPr>
            <sz val="9"/>
            <rFont val="Tahoma"/>
            <family val="2"/>
          </rPr>
          <t xml:space="preserve">
discrepancy due to intersegment eliminations</t>
        </r>
      </text>
    </comment>
    <comment ref="BG994" authorId="0" shapeId="0" xr:uid="{00000000-0006-0000-0100-00008E000000}">
      <text>
        <r>
          <rPr>
            <b/>
            <sz val="9"/>
            <rFont val="Tahoma"/>
            <family val="2"/>
          </rPr>
          <t>Tegus (AHA):</t>
        </r>
        <r>
          <rPr>
            <sz val="9"/>
            <rFont val="Tahoma"/>
            <family val="2"/>
          </rPr>
          <t xml:space="preserve">
discrepancy due to intersegment eliminations</t>
        </r>
      </text>
    </comment>
    <comment ref="BH994" authorId="0" shapeId="0" xr:uid="{06F237C8-BD19-4DA5-972E-9F77F199318A}">
      <text>
        <r>
          <rPr>
            <b/>
            <sz val="9"/>
            <rFont val="Tahoma"/>
            <family val="2"/>
          </rPr>
          <t>Tegus (KN):</t>
        </r>
        <r>
          <rPr>
            <sz val="9"/>
            <rFont val="Tahoma"/>
            <family val="2"/>
          </rPr>
          <t xml:space="preserve">
discrepancy due to intersegment eliminations</t>
        </r>
      </text>
    </comment>
    <comment ref="BJ994" authorId="0" shapeId="0" xr:uid="{00000000-0006-0000-0100-00008F000000}">
      <text>
        <r>
          <rPr>
            <b/>
            <sz val="9"/>
            <rFont val="Tahoma"/>
            <family val="2"/>
          </rPr>
          <t>Tegus (AHA):</t>
        </r>
        <r>
          <rPr>
            <sz val="9"/>
            <rFont val="Tahoma"/>
            <family val="2"/>
          </rPr>
          <t xml:space="preserve">
discrepancy due to intersegment eliminations</t>
        </r>
      </text>
    </comment>
    <comment ref="Q995" authorId="0" shapeId="0" xr:uid="{00000000-0006-0000-0100-000090000000}">
      <text>
        <r>
          <rPr>
            <b/>
            <sz val="9"/>
            <rFont val="Tahoma"/>
            <family val="2"/>
          </rPr>
          <t>Tegus (OG):</t>
        </r>
        <r>
          <rPr>
            <sz val="9"/>
            <rFont val="Tahoma"/>
            <family val="2"/>
          </rPr>
          <t xml:space="preserve">
discrepancy due to intersegment eliminations</t>
        </r>
      </text>
    </comment>
    <comment ref="V995" authorId="0" shapeId="0" xr:uid="{00000000-0006-0000-0100-000091000000}">
      <text>
        <r>
          <rPr>
            <b/>
            <sz val="9"/>
            <rFont val="Tahoma"/>
            <family val="2"/>
          </rPr>
          <t>Tegus (OG):</t>
        </r>
        <r>
          <rPr>
            <sz val="9"/>
            <rFont val="Tahoma"/>
            <family val="2"/>
          </rPr>
          <t xml:space="preserve">
discrepancy due to intersegment eliminations</t>
        </r>
      </text>
    </comment>
    <comment ref="W995" authorId="0" shapeId="0" xr:uid="{00000000-0006-0000-0100-000092000000}">
      <text>
        <r>
          <rPr>
            <b/>
            <sz val="9"/>
            <rFont val="Tahoma"/>
            <family val="2"/>
          </rPr>
          <t>Tegus (OG):</t>
        </r>
        <r>
          <rPr>
            <sz val="9"/>
            <rFont val="Tahoma"/>
            <family val="2"/>
          </rPr>
          <t xml:space="preserve">
discrepancy due to intersegment eliminations</t>
        </r>
      </text>
    </comment>
    <comment ref="X995" authorId="0" shapeId="0" xr:uid="{00000000-0006-0000-0100-000093000000}">
      <text>
        <r>
          <rPr>
            <b/>
            <sz val="9"/>
            <rFont val="Tahoma"/>
            <family val="2"/>
          </rPr>
          <t>Tegus (OG):</t>
        </r>
        <r>
          <rPr>
            <sz val="9"/>
            <rFont val="Tahoma"/>
            <family val="2"/>
          </rPr>
          <t xml:space="preserve">
discrepancy due to intersegment eliminations</t>
        </r>
      </text>
    </comment>
    <comment ref="Y995" authorId="0" shapeId="0" xr:uid="{00000000-0006-0000-0100-000094000000}">
      <text>
        <r>
          <rPr>
            <b/>
            <sz val="9"/>
            <rFont val="Tahoma"/>
            <family val="2"/>
          </rPr>
          <t>Tegus (OG):</t>
        </r>
        <r>
          <rPr>
            <sz val="9"/>
            <rFont val="Tahoma"/>
            <family val="2"/>
          </rPr>
          <t xml:space="preserve">
discrepancy due to intersegment eliminations</t>
        </r>
      </text>
    </comment>
    <comment ref="Z995" authorId="0" shapeId="0" xr:uid="{00000000-0006-0000-0100-000095000000}">
      <text>
        <r>
          <rPr>
            <b/>
            <sz val="9"/>
            <rFont val="Tahoma"/>
            <family val="2"/>
          </rPr>
          <t>Tegus (OG):</t>
        </r>
        <r>
          <rPr>
            <sz val="9"/>
            <rFont val="Tahoma"/>
            <family val="2"/>
          </rPr>
          <t xml:space="preserve">
discrepancy due to intersegment eliminations</t>
        </r>
      </text>
    </comment>
    <comment ref="AA995" authorId="0" shapeId="0" xr:uid="{00000000-0006-0000-0100-000096000000}">
      <text>
        <r>
          <rPr>
            <b/>
            <sz val="9"/>
            <rFont val="Tahoma"/>
            <family val="2"/>
          </rPr>
          <t>Tegus (OG):</t>
        </r>
        <r>
          <rPr>
            <sz val="9"/>
            <rFont val="Tahoma"/>
            <family val="2"/>
          </rPr>
          <t xml:space="preserve">
discrepancy due to intersegment eliminations</t>
        </r>
      </text>
    </comment>
    <comment ref="AB995" authorId="0" shapeId="0" xr:uid="{00000000-0006-0000-0100-000097000000}">
      <text>
        <r>
          <rPr>
            <b/>
            <sz val="9"/>
            <rFont val="Tahoma"/>
            <family val="2"/>
          </rPr>
          <t>Tegus (OG):</t>
        </r>
        <r>
          <rPr>
            <sz val="9"/>
            <rFont val="Tahoma"/>
            <family val="2"/>
          </rPr>
          <t xml:space="preserve">
discrepancy due to intersegment eliminations</t>
        </r>
      </text>
    </comment>
    <comment ref="AC995" authorId="0" shapeId="0" xr:uid="{00000000-0006-0000-0100-000098000000}">
      <text>
        <r>
          <rPr>
            <b/>
            <sz val="9"/>
            <rFont val="Tahoma"/>
            <family val="2"/>
          </rPr>
          <t>Tegus (OG):</t>
        </r>
        <r>
          <rPr>
            <sz val="9"/>
            <rFont val="Tahoma"/>
            <family val="2"/>
          </rPr>
          <t xml:space="preserve">
discrepancy due to intersegment eliminations</t>
        </r>
      </text>
    </comment>
    <comment ref="AD995" authorId="0" shapeId="0" xr:uid="{00000000-0006-0000-0100-000099000000}">
      <text>
        <r>
          <rPr>
            <b/>
            <sz val="9"/>
            <rFont val="Tahoma"/>
            <family val="2"/>
          </rPr>
          <t>Tegus (OG):</t>
        </r>
        <r>
          <rPr>
            <sz val="9"/>
            <rFont val="Tahoma"/>
            <family val="2"/>
          </rPr>
          <t xml:space="preserve">
discrepancy due to intersegment eliminations</t>
        </r>
      </text>
    </comment>
    <comment ref="AE995" authorId="0" shapeId="0" xr:uid="{00000000-0006-0000-0100-00009A000000}">
      <text>
        <r>
          <rPr>
            <b/>
            <sz val="9"/>
            <rFont val="Tahoma"/>
            <family val="2"/>
          </rPr>
          <t>Tegus (OG):</t>
        </r>
        <r>
          <rPr>
            <sz val="9"/>
            <rFont val="Tahoma"/>
            <family val="2"/>
          </rPr>
          <t xml:space="preserve">
discrepancy due to intersegment eliminations</t>
        </r>
      </text>
    </comment>
    <comment ref="AF995" authorId="0" shapeId="0" xr:uid="{00000000-0006-0000-0100-00009B000000}">
      <text>
        <r>
          <rPr>
            <b/>
            <sz val="9"/>
            <rFont val="Tahoma"/>
            <family val="2"/>
          </rPr>
          <t>Tegus (OG):</t>
        </r>
        <r>
          <rPr>
            <sz val="9"/>
            <rFont val="Tahoma"/>
            <family val="2"/>
          </rPr>
          <t xml:space="preserve">
discrepancy due to intersegment eliminations</t>
        </r>
      </text>
    </comment>
    <comment ref="AG995" authorId="0" shapeId="0" xr:uid="{00000000-0006-0000-0100-00009C000000}">
      <text>
        <r>
          <rPr>
            <b/>
            <sz val="9"/>
            <rFont val="Tahoma"/>
            <family val="2"/>
          </rPr>
          <t>Tegus (OG):</t>
        </r>
        <r>
          <rPr>
            <sz val="9"/>
            <rFont val="Tahoma"/>
            <family val="2"/>
          </rPr>
          <t xml:space="preserve">
discrepancy due to intersegment eliminations</t>
        </r>
      </text>
    </comment>
    <comment ref="AH995" authorId="0" shapeId="0" xr:uid="{00000000-0006-0000-0100-00009D000000}">
      <text>
        <r>
          <rPr>
            <b/>
            <sz val="9"/>
            <rFont val="Tahoma"/>
            <family val="2"/>
          </rPr>
          <t>Tegus (OG):</t>
        </r>
        <r>
          <rPr>
            <sz val="9"/>
            <rFont val="Tahoma"/>
            <family val="2"/>
          </rPr>
          <t xml:space="preserve">
discrepancy due to intersegment eliminations</t>
        </r>
      </text>
    </comment>
    <comment ref="AI995" authorId="0" shapeId="0" xr:uid="{00000000-0006-0000-0100-00009E000000}">
      <text>
        <r>
          <rPr>
            <b/>
            <sz val="9"/>
            <rFont val="Tahoma"/>
            <family val="2"/>
          </rPr>
          <t>Tegus (OG):</t>
        </r>
        <r>
          <rPr>
            <sz val="9"/>
            <rFont val="Tahoma"/>
            <family val="2"/>
          </rPr>
          <t xml:space="preserve">
discrepancy due to intersegment eliminations</t>
        </r>
      </text>
    </comment>
    <comment ref="AJ995" authorId="0" shapeId="0" xr:uid="{00000000-0006-0000-0100-00009F000000}">
      <text>
        <r>
          <rPr>
            <b/>
            <sz val="9"/>
            <rFont val="Tahoma"/>
            <family val="2"/>
          </rPr>
          <t>Tegus (OG):</t>
        </r>
        <r>
          <rPr>
            <sz val="9"/>
            <rFont val="Tahoma"/>
            <family val="2"/>
          </rPr>
          <t xml:space="preserve">
discrepancy due to intersegment eliminations</t>
        </r>
      </text>
    </comment>
    <comment ref="AK995" authorId="0" shapeId="0" xr:uid="{00000000-0006-0000-0100-0000A0000000}">
      <text>
        <r>
          <rPr>
            <b/>
            <sz val="9"/>
            <rFont val="Tahoma"/>
            <family val="2"/>
          </rPr>
          <t>Tegus (OG):</t>
        </r>
        <r>
          <rPr>
            <sz val="9"/>
            <rFont val="Tahoma"/>
            <family val="2"/>
          </rPr>
          <t xml:space="preserve">
discrepancy due to intersegment eliminations</t>
        </r>
      </text>
    </comment>
    <comment ref="AL995" authorId="0" shapeId="0" xr:uid="{00000000-0006-0000-0100-0000A1000000}">
      <text>
        <r>
          <rPr>
            <b/>
            <sz val="9"/>
            <rFont val="Tahoma"/>
            <family val="2"/>
          </rPr>
          <t>Tegus (OG):</t>
        </r>
        <r>
          <rPr>
            <sz val="9"/>
            <rFont val="Tahoma"/>
            <family val="2"/>
          </rPr>
          <t xml:space="preserve">
discrepancy due to intersegment eliminations</t>
        </r>
      </text>
    </comment>
    <comment ref="AM995" authorId="0" shapeId="0" xr:uid="{00000000-0006-0000-0100-0000A2000000}">
      <text>
        <r>
          <rPr>
            <b/>
            <sz val="9"/>
            <rFont val="Tahoma"/>
            <family val="2"/>
          </rPr>
          <t>Tegus (OG):</t>
        </r>
        <r>
          <rPr>
            <sz val="9"/>
            <rFont val="Tahoma"/>
            <family val="2"/>
          </rPr>
          <t xml:space="preserve">
discrepancy due to intersegment eliminations</t>
        </r>
      </text>
    </comment>
    <comment ref="AN995" authorId="0" shapeId="0" xr:uid="{00000000-0006-0000-0100-0000A3000000}">
      <text>
        <r>
          <rPr>
            <b/>
            <sz val="9"/>
            <rFont val="Tahoma"/>
            <family val="2"/>
          </rPr>
          <t>Tegus (OG):</t>
        </r>
        <r>
          <rPr>
            <sz val="9"/>
            <rFont val="Tahoma"/>
            <family val="2"/>
          </rPr>
          <t xml:space="preserve">
discrepancy due to intersegment eliminations</t>
        </r>
      </text>
    </comment>
    <comment ref="AO995" authorId="0" shapeId="0" xr:uid="{00000000-0006-0000-0100-0000A4000000}">
      <text>
        <r>
          <rPr>
            <b/>
            <sz val="9"/>
            <rFont val="Tahoma"/>
            <family val="2"/>
          </rPr>
          <t>Tegus (OG):</t>
        </r>
        <r>
          <rPr>
            <sz val="9"/>
            <rFont val="Tahoma"/>
            <family val="2"/>
          </rPr>
          <t xml:space="preserve">
discrepancy due to intersegment eliminations</t>
        </r>
      </text>
    </comment>
    <comment ref="AP995" authorId="0" shapeId="0" xr:uid="{00000000-0006-0000-0100-0000A5000000}">
      <text>
        <r>
          <rPr>
            <b/>
            <sz val="9"/>
            <rFont val="Tahoma"/>
            <family val="2"/>
          </rPr>
          <t>Tegus (OG):</t>
        </r>
        <r>
          <rPr>
            <sz val="9"/>
            <rFont val="Tahoma"/>
            <family val="2"/>
          </rPr>
          <t xml:space="preserve">
discrepancy due to intersegment eliminations</t>
        </r>
      </text>
    </comment>
    <comment ref="AQ995" authorId="0" shapeId="0" xr:uid="{00000000-0006-0000-0100-0000A6000000}">
      <text>
        <r>
          <rPr>
            <b/>
            <sz val="9"/>
            <rFont val="Tahoma"/>
            <family val="2"/>
          </rPr>
          <t>Tegus (OG):</t>
        </r>
        <r>
          <rPr>
            <sz val="9"/>
            <rFont val="Tahoma"/>
            <family val="2"/>
          </rPr>
          <t xml:space="preserve">
discrepancy due to intersegment eliminations</t>
        </r>
      </text>
    </comment>
    <comment ref="AR995" authorId="0" shapeId="0" xr:uid="{00000000-0006-0000-0100-0000A7000000}">
      <text>
        <r>
          <rPr>
            <b/>
            <sz val="9"/>
            <rFont val="Tahoma"/>
            <family val="2"/>
          </rPr>
          <t>Tegus (OG):</t>
        </r>
        <r>
          <rPr>
            <sz val="9"/>
            <rFont val="Tahoma"/>
            <family val="2"/>
          </rPr>
          <t xml:space="preserve">
discrepancy due to intersegment eliminations</t>
        </r>
      </text>
    </comment>
    <comment ref="AS995" authorId="0" shapeId="0" xr:uid="{00000000-0006-0000-0100-0000A8000000}">
      <text>
        <r>
          <rPr>
            <b/>
            <sz val="9"/>
            <rFont val="Tahoma"/>
            <family val="2"/>
          </rPr>
          <t>Tegus (OG):</t>
        </r>
        <r>
          <rPr>
            <sz val="9"/>
            <rFont val="Tahoma"/>
            <family val="2"/>
          </rPr>
          <t xml:space="preserve">
discrepancy due to intersegment eliminations</t>
        </r>
      </text>
    </comment>
    <comment ref="AT995" authorId="0" shapeId="0" xr:uid="{00000000-0006-0000-0100-0000A9000000}">
      <text>
        <r>
          <rPr>
            <b/>
            <sz val="9"/>
            <rFont val="Tahoma"/>
            <family val="2"/>
          </rPr>
          <t>Tegus (OG):</t>
        </r>
        <r>
          <rPr>
            <sz val="9"/>
            <rFont val="Tahoma"/>
            <family val="2"/>
          </rPr>
          <t xml:space="preserve">
discrepancy due to intersegment eliminations</t>
        </r>
      </text>
    </comment>
    <comment ref="AU995" authorId="0" shapeId="0" xr:uid="{00000000-0006-0000-0100-0000AA000000}">
      <text>
        <r>
          <rPr>
            <b/>
            <sz val="9"/>
            <rFont val="Tahoma"/>
            <family val="2"/>
          </rPr>
          <t>Tegus (OG):</t>
        </r>
        <r>
          <rPr>
            <sz val="9"/>
            <rFont val="Tahoma"/>
            <family val="2"/>
          </rPr>
          <t xml:space="preserve">
discrepancy due to intersegment eliminations</t>
        </r>
      </text>
    </comment>
    <comment ref="AV995" authorId="0" shapeId="0" xr:uid="{00000000-0006-0000-0100-0000AB000000}">
      <text>
        <r>
          <rPr>
            <b/>
            <sz val="9"/>
            <rFont val="Tahoma"/>
            <family val="2"/>
          </rPr>
          <t>Tegus (OG):</t>
        </r>
        <r>
          <rPr>
            <sz val="9"/>
            <rFont val="Tahoma"/>
            <family val="2"/>
          </rPr>
          <t xml:space="preserve">
discrepancy due to intersegment eliminations</t>
        </r>
      </text>
    </comment>
    <comment ref="AW995" authorId="0" shapeId="0" xr:uid="{00000000-0006-0000-0100-0000AC000000}">
      <text>
        <r>
          <rPr>
            <b/>
            <sz val="9"/>
            <rFont val="Tahoma"/>
            <family val="2"/>
          </rPr>
          <t>Tegus (OG):</t>
        </r>
        <r>
          <rPr>
            <sz val="9"/>
            <rFont val="Tahoma"/>
            <family val="2"/>
          </rPr>
          <t xml:space="preserve">
discrepancy due to intersegment eliminations</t>
        </r>
      </text>
    </comment>
    <comment ref="AX995" authorId="0" shapeId="0" xr:uid="{00000000-0006-0000-0100-0000AD000000}">
      <text>
        <r>
          <rPr>
            <b/>
            <sz val="9"/>
            <rFont val="Tahoma"/>
            <family val="2"/>
          </rPr>
          <t>Tegus (HN):</t>
        </r>
        <r>
          <rPr>
            <sz val="9"/>
            <rFont val="Tahoma"/>
            <family val="2"/>
          </rPr>
          <t xml:space="preserve">
discrepancy due to intersegment eliminations</t>
        </r>
      </text>
    </comment>
    <comment ref="AY995" authorId="0" shapeId="0" xr:uid="{00000000-0006-0000-0100-0000AE000000}">
      <text>
        <r>
          <rPr>
            <b/>
            <sz val="9"/>
            <rFont val="Tahoma"/>
            <family val="2"/>
          </rPr>
          <t>Tegus (HN):</t>
        </r>
        <r>
          <rPr>
            <sz val="9"/>
            <rFont val="Tahoma"/>
            <family val="2"/>
          </rPr>
          <t xml:space="preserve">
discrepancy due to intersegment eliminations</t>
        </r>
      </text>
    </comment>
    <comment ref="AZ995" authorId="0" shapeId="0" xr:uid="{00000000-0006-0000-0100-0000AF000000}">
      <text>
        <r>
          <rPr>
            <b/>
            <sz val="9"/>
            <rFont val="Tahoma"/>
            <family val="2"/>
          </rPr>
          <t>Tegus (HN):</t>
        </r>
        <r>
          <rPr>
            <sz val="9"/>
            <rFont val="Tahoma"/>
            <family val="2"/>
          </rPr>
          <t xml:space="preserve">
discrepancy due to intersegment eliminations</t>
        </r>
      </text>
    </comment>
    <comment ref="BA995" authorId="0" shapeId="0" xr:uid="{00000000-0006-0000-0100-0000B0000000}">
      <text>
        <r>
          <rPr>
            <b/>
            <sz val="9"/>
            <rFont val="Tahoma"/>
            <family val="2"/>
          </rPr>
          <t>Tegus (HN):</t>
        </r>
        <r>
          <rPr>
            <sz val="9"/>
            <rFont val="Tahoma"/>
            <family val="2"/>
          </rPr>
          <t xml:space="preserve">
discrepancy due to intersegment eliminations</t>
        </r>
      </text>
    </comment>
    <comment ref="BB995" authorId="0" shapeId="0" xr:uid="{00000000-0006-0000-0100-0000B1000000}">
      <text>
        <r>
          <rPr>
            <b/>
            <sz val="9"/>
            <rFont val="Tahoma"/>
            <family val="2"/>
          </rPr>
          <t>Tegus (AS):</t>
        </r>
        <r>
          <rPr>
            <sz val="9"/>
            <rFont val="Tahoma"/>
            <family val="2"/>
          </rPr>
          <t xml:space="preserve">
discrepancy due to intersegment eliminations</t>
        </r>
      </text>
    </comment>
    <comment ref="BC995" authorId="0" shapeId="0" xr:uid="{00000000-0006-0000-0100-0000B2000000}">
      <text>
        <r>
          <rPr>
            <b/>
            <sz val="9"/>
            <rFont val="Tahoma"/>
            <family val="2"/>
          </rPr>
          <t>Tegus (SHK):</t>
        </r>
        <r>
          <rPr>
            <sz val="9"/>
            <rFont val="Tahoma"/>
            <family val="2"/>
          </rPr>
          <t xml:space="preserve">
discrepancy due to intersegment eliminations</t>
        </r>
      </text>
    </comment>
    <comment ref="BD995" authorId="0" shapeId="0" xr:uid="{00000000-0006-0000-0100-0000B3000000}">
      <text>
        <r>
          <rPr>
            <b/>
            <sz val="9"/>
            <rFont val="Tahoma"/>
            <family val="2"/>
          </rPr>
          <t>Tegus (AHA):</t>
        </r>
        <r>
          <rPr>
            <sz val="9"/>
            <rFont val="Tahoma"/>
            <family val="2"/>
          </rPr>
          <t xml:space="preserve">
discrepancy due to intersegment eliminations</t>
        </r>
      </text>
    </comment>
    <comment ref="BE995" authorId="0" shapeId="0" xr:uid="{00000000-0006-0000-0100-0000B4000000}">
      <text>
        <r>
          <rPr>
            <b/>
            <sz val="9"/>
            <rFont val="Tahoma"/>
            <family val="2"/>
          </rPr>
          <t>Tegus (AHA):</t>
        </r>
        <r>
          <rPr>
            <sz val="9"/>
            <rFont val="Tahoma"/>
            <family val="2"/>
          </rPr>
          <t xml:space="preserve">
discrepancy due to intersegment eliminations</t>
        </r>
      </text>
    </comment>
    <comment ref="BF995" authorId="0" shapeId="0" xr:uid="{00000000-0006-0000-0100-0000B5000000}">
      <text>
        <r>
          <rPr>
            <b/>
            <sz val="9"/>
            <rFont val="Tahoma"/>
            <family val="2"/>
          </rPr>
          <t>Tegus (AHA):</t>
        </r>
        <r>
          <rPr>
            <sz val="9"/>
            <rFont val="Tahoma"/>
            <family val="2"/>
          </rPr>
          <t xml:space="preserve">
discrepancy due to intersegment eliminations</t>
        </r>
      </text>
    </comment>
    <comment ref="BG995" authorId="0" shapeId="0" xr:uid="{00000000-0006-0000-0100-0000B6000000}">
      <text>
        <r>
          <rPr>
            <b/>
            <sz val="9"/>
            <rFont val="Tahoma"/>
            <family val="2"/>
          </rPr>
          <t>Tegus (AHA):</t>
        </r>
        <r>
          <rPr>
            <sz val="9"/>
            <rFont val="Tahoma"/>
            <family val="2"/>
          </rPr>
          <t xml:space="preserve">
discrepancy due to intersegment eliminations</t>
        </r>
      </text>
    </comment>
    <comment ref="BH995" authorId="0" shapeId="0" xr:uid="{B725C3E5-60D7-4CF3-97B5-1D14E545767C}">
      <text>
        <r>
          <rPr>
            <b/>
            <sz val="9"/>
            <rFont val="Tahoma"/>
            <family val="2"/>
          </rPr>
          <t>Tegus (KN):</t>
        </r>
        <r>
          <rPr>
            <sz val="9"/>
            <rFont val="Tahoma"/>
            <family val="2"/>
          </rPr>
          <t xml:space="preserve">
discrepancy due to intersegment eliminations</t>
        </r>
      </text>
    </comment>
    <comment ref="BJ995" authorId="0" shapeId="0" xr:uid="{00000000-0006-0000-0100-0000B7000000}">
      <text>
        <r>
          <rPr>
            <b/>
            <sz val="9"/>
            <rFont val="Tahoma"/>
            <family val="2"/>
          </rPr>
          <t>Tegus (AHA):</t>
        </r>
        <r>
          <rPr>
            <sz val="9"/>
            <rFont val="Tahoma"/>
            <family val="2"/>
          </rPr>
          <t xml:space="preserve">
discrepancy due to intersegment eliminations</t>
        </r>
      </text>
    </comment>
    <comment ref="A1000" authorId="0" shapeId="0" xr:uid="{00000000-0006-0000-0100-0000B8000000}">
      <text>
        <r>
          <rPr>
            <b/>
            <sz val="9"/>
            <rFont val="Tahoma"/>
            <family val="2"/>
          </rPr>
          <t>Tegus (RD):</t>
        </r>
        <r>
          <rPr>
            <sz val="9"/>
            <rFont val="Tahoma"/>
            <family val="2"/>
          </rPr>
          <t xml:space="preserve">
Gross premiums/ Retention ratio not reported</t>
        </r>
      </text>
    </comment>
    <comment ref="A1001" authorId="0" shapeId="0" xr:uid="{00000000-0006-0000-0100-0000B9000000}">
      <text>
        <r>
          <rPr>
            <b/>
            <sz val="9"/>
            <rFont val="Tahoma"/>
            <family val="2"/>
          </rPr>
          <t>Tegus (RD):</t>
        </r>
        <r>
          <rPr>
            <sz val="9"/>
            <rFont val="Tahoma"/>
            <family val="2"/>
          </rPr>
          <t xml:space="preserve">
Gross premiums/ Retention ratio not reported</t>
        </r>
      </text>
    </comment>
  </commentList>
</comments>
</file>

<file path=xl/sharedStrings.xml><?xml version="1.0" encoding="utf-8"?>
<sst xmlns="http://schemas.openxmlformats.org/spreadsheetml/2006/main" count="1158" uniqueCount="976">
  <si>
    <t xml:space="preserve">Please contact this email for any model-specific questions: </t>
  </si>
  <si>
    <t>support@tegus.com</t>
  </si>
  <si>
    <t>Company Model:</t>
  </si>
  <si>
    <t>Comments on Model:</t>
  </si>
  <si>
    <t xml:space="preserve">Updated: </t>
  </si>
  <si>
    <t>For:</t>
  </si>
  <si>
    <t>Consensus Data and Real-Time Stock Price:</t>
  </si>
  <si>
    <t>Bloomberg</t>
  </si>
  <si>
    <t>Real-Time Stock Price:</t>
  </si>
  <si>
    <t>Stock Price Override:</t>
  </si>
  <si>
    <t>The Allstate Corporation</t>
  </si>
  <si>
    <t>USD</t>
  </si>
  <si>
    <t>FY2009</t>
  </si>
  <si>
    <t>Growth Analysis</t>
  </si>
  <si>
    <t>Unearned Premium Reserves</t>
  </si>
  <si>
    <t>Net Unearned Premium Reserves, mm</t>
  </si>
  <si>
    <t>Change in Net Unearned Premium Reserves, mm</t>
  </si>
  <si>
    <t>Loss Reserves</t>
  </si>
  <si>
    <t>Gross Loss Reserves, mm</t>
  </si>
  <si>
    <t>Reinsurance Recoverable, mm</t>
  </si>
  <si>
    <t>Net Loss Reserves, mm</t>
  </si>
  <si>
    <t>Loss and LAE Incurred, mm</t>
  </si>
  <si>
    <t>Loss and LAE Paid - Implied, mm</t>
  </si>
  <si>
    <t>Change in Net Loss Reserves, mm</t>
  </si>
  <si>
    <t>Loss Payout Ratio, %</t>
  </si>
  <si>
    <t>Total Investments - Avg. Balance, mm</t>
  </si>
  <si>
    <t>Total Investments - Avg. Balance Growth, %</t>
  </si>
  <si>
    <t>Net Investment Income Yield (Annualized), %</t>
  </si>
  <si>
    <t>Net Investment Income, mm</t>
  </si>
  <si>
    <t>Net Investment Gains, mm</t>
  </si>
  <si>
    <t>Income Statement - As Reported</t>
  </si>
  <si>
    <t>Property-liability insurance premiums</t>
  </si>
  <si>
    <t>Life and annuity premiums and contract charges</t>
  </si>
  <si>
    <t>Other revenue</t>
  </si>
  <si>
    <t>Net investment income</t>
  </si>
  <si>
    <t>Total other-than-temporary impairment (“OTTI”) losses</t>
  </si>
  <si>
    <t>OTTI losses reclassified to (from) other comprehensive income</t>
  </si>
  <si>
    <t>Net OTTI losses recognized in earnings</t>
  </si>
  <si>
    <t>Sales and other realized capital gains and losses</t>
  </si>
  <si>
    <t>Total realized capital gains and losses</t>
  </si>
  <si>
    <t>Total Revenue</t>
  </si>
  <si>
    <t>Property-liability insurance claims and claims expense</t>
  </si>
  <si>
    <t>Interest credited to contractholder funds</t>
  </si>
  <si>
    <t>Amortization of deferred policy acquisition costs</t>
  </si>
  <si>
    <t>Operating costs and expenses</t>
  </si>
  <si>
    <t>Restructuring and related charges</t>
  </si>
  <si>
    <t>Goodwill impairment</t>
  </si>
  <si>
    <t>Amortization of purchased intangible assets</t>
  </si>
  <si>
    <t>Loss on extinguishment of debt</t>
  </si>
  <si>
    <t>Interest expense</t>
  </si>
  <si>
    <t>Total costs and expenses</t>
  </si>
  <si>
    <t>Gain (loss) on disposition of operations</t>
  </si>
  <si>
    <t>Income from operations before income tax expense</t>
  </si>
  <si>
    <t>Income tax expense</t>
  </si>
  <si>
    <t>Net income</t>
  </si>
  <si>
    <t>Preferred stock dividends</t>
  </si>
  <si>
    <t>Net income applicable to common shareholders</t>
  </si>
  <si>
    <t>IS Check</t>
  </si>
  <si>
    <t>Adjusted Numbers - As Reported</t>
  </si>
  <si>
    <t>Deferred income taxes</t>
  </si>
  <si>
    <t>Revised Income Statement</t>
  </si>
  <si>
    <t>Net Earned Premiums</t>
  </si>
  <si>
    <t>Net Investment Income</t>
  </si>
  <si>
    <t>Net Investment Gains</t>
  </si>
  <si>
    <t>Other Income</t>
  </si>
  <si>
    <t>Net Revenue</t>
  </si>
  <si>
    <t>Loss and LAE</t>
  </si>
  <si>
    <t>Other Operating Expense</t>
  </si>
  <si>
    <t>Interest Expense</t>
  </si>
  <si>
    <t>Other Items</t>
  </si>
  <si>
    <t>One-time Items</t>
  </si>
  <si>
    <t>EBT</t>
  </si>
  <si>
    <t>Current Tax</t>
  </si>
  <si>
    <t>Deferred Tax</t>
  </si>
  <si>
    <t>Net Income from Continued Operation</t>
  </si>
  <si>
    <t>Earnings from Equity Investments</t>
  </si>
  <si>
    <t>Discontinued Operations</t>
  </si>
  <si>
    <t>Net Income to NCI</t>
  </si>
  <si>
    <t>Earnings to Preferred and Other Securities</t>
  </si>
  <si>
    <t>Net Income to Common Shareholders</t>
  </si>
  <si>
    <t>Adjustments for Convertible Securities</t>
  </si>
  <si>
    <t>Diluted Net Income to Common Shareholders</t>
  </si>
  <si>
    <t>Non-GAAP Adjustments</t>
  </si>
  <si>
    <t>Non-GAAP Adjustments for Dilutive Securities</t>
  </si>
  <si>
    <t>Adjusted Net Income</t>
  </si>
  <si>
    <t>Current Tax Rate</t>
  </si>
  <si>
    <t>Deferred Tax Rate</t>
  </si>
  <si>
    <t>Earnings Per Share - WAB</t>
  </si>
  <si>
    <t>Earnings Per Share - WAD</t>
  </si>
  <si>
    <t>Consensus Estimates - Adjusted Earnings Per Share - WAD</t>
  </si>
  <si>
    <t>Shares Outstanding - WAB</t>
  </si>
  <si>
    <t>Shares Outstanding - WAD</t>
  </si>
  <si>
    <t>Adjusted Shares Outstanding - WAD</t>
  </si>
  <si>
    <t>Dividend Summary</t>
  </si>
  <si>
    <t>Dividends Paid to Common Shareholders</t>
  </si>
  <si>
    <t>Dividend Per Common Share</t>
  </si>
  <si>
    <t>Payout Ratio</t>
  </si>
  <si>
    <t>Balance Sheet Summary</t>
  </si>
  <si>
    <t>Net Unearned Premium Reserves</t>
  </si>
  <si>
    <t>Net Loss Reserves</t>
  </si>
  <si>
    <t>Net Technical Reserves</t>
  </si>
  <si>
    <t>Total Equity</t>
  </si>
  <si>
    <t>Preferred Stock</t>
  </si>
  <si>
    <t>Total Common Shareholder's Equity</t>
  </si>
  <si>
    <t>Total Tangible Common Equity</t>
  </si>
  <si>
    <t>Book Value per Common Share</t>
  </si>
  <si>
    <t>Tangible Book Value per Common Share</t>
  </si>
  <si>
    <t>Return on Average Total Assets</t>
  </si>
  <si>
    <t>Return on Average Common Equity</t>
  </si>
  <si>
    <t>Return on Average Tangible Common Equity</t>
  </si>
  <si>
    <t>Statutory Income and Capital - As Reported</t>
  </si>
  <si>
    <t>Statutory Income</t>
  </si>
  <si>
    <t>Statutory capital</t>
  </si>
  <si>
    <t>Valuation</t>
  </si>
  <si>
    <t>Avg</t>
  </si>
  <si>
    <t>Cumulative Cash Flow Statement</t>
  </si>
  <si>
    <t>CFO</t>
  </si>
  <si>
    <t>Depreciation, amortization and other non-cash items</t>
  </si>
  <si>
    <t>Realized capital gains and losses</t>
  </si>
  <si>
    <t>Gain on disposition of operations</t>
  </si>
  <si>
    <t>CFO before WC</t>
  </si>
  <si>
    <t>Policy benefits and other insurance reserves</t>
  </si>
  <si>
    <t>Unearned premiums</t>
  </si>
  <si>
    <t>Deferred policy acquisition costs</t>
  </si>
  <si>
    <t>Premium installment receivables, net</t>
  </si>
  <si>
    <t>Reinsurance recoverables, net</t>
  </si>
  <si>
    <t>Income taxes</t>
  </si>
  <si>
    <t>Other operating assets and liabilities</t>
  </si>
  <si>
    <t>Loss reserves</t>
  </si>
  <si>
    <t>Net CFO</t>
  </si>
  <si>
    <t>CFI</t>
  </si>
  <si>
    <t>Sales of Fixed income securities</t>
  </si>
  <si>
    <t>Sales of Equity securities</t>
  </si>
  <si>
    <t>Sales of Limited partnership interests</t>
  </si>
  <si>
    <t>Collections of Mortgage loans</t>
  </si>
  <si>
    <t>Collections of Other investments</t>
  </si>
  <si>
    <t>Collections of Fixed income securities</t>
  </si>
  <si>
    <t>Purchases of Fixed income securities</t>
  </si>
  <si>
    <t>Purchases of Equity securities</t>
  </si>
  <si>
    <t>Purchases of Limited partnership interests</t>
  </si>
  <si>
    <t>Purchases of Mortgage loans</t>
  </si>
  <si>
    <t>Purchases of Other investments</t>
  </si>
  <si>
    <t>Change in short-term investments, net</t>
  </si>
  <si>
    <t>Change in other investments, net</t>
  </si>
  <si>
    <t>Purchases of property and equipment, net</t>
  </si>
  <si>
    <t>Acquisition of operations</t>
  </si>
  <si>
    <t>Net CFI</t>
  </si>
  <si>
    <t>CFF</t>
  </si>
  <si>
    <t>Proceeds from issuance of long-term debt</t>
  </si>
  <si>
    <t>Repayments of long-term debt</t>
  </si>
  <si>
    <t>Proceeds from issuance of preferred stock</t>
  </si>
  <si>
    <t>Redemption of preferred stock</t>
  </si>
  <si>
    <t>Contractholder fund deposits</t>
  </si>
  <si>
    <t>Contractholder fund withdrawals</t>
  </si>
  <si>
    <t>Dividends paid on common stock</t>
  </si>
  <si>
    <t>Dividends paid on preferred stock</t>
  </si>
  <si>
    <t>Treasury stock purchases</t>
  </si>
  <si>
    <t>Shares reissued under equity incentive plans, net</t>
  </si>
  <si>
    <t>Excess tax benefits on share-based payment arrangements</t>
  </si>
  <si>
    <t>Other</t>
  </si>
  <si>
    <t>Cash classified as held for sale</t>
  </si>
  <si>
    <t>Net CFF</t>
  </si>
  <si>
    <t>FX</t>
  </si>
  <si>
    <t>Net Change in Cash Balance</t>
  </si>
  <si>
    <t>Beginning Cash Balance</t>
  </si>
  <si>
    <t>Ending Cash Balance</t>
  </si>
  <si>
    <t>Cash Flow Statement</t>
  </si>
  <si>
    <t>CF Check</t>
  </si>
  <si>
    <t>Balance Sheet</t>
  </si>
  <si>
    <t>Assets</t>
  </si>
  <si>
    <t>Fixed income securities, at fair value</t>
  </si>
  <si>
    <t>Equity securities, at fair value</t>
  </si>
  <si>
    <t>Mortgage loans</t>
  </si>
  <si>
    <t>Limited partnership interests</t>
  </si>
  <si>
    <t>Short-term, at fair value</t>
  </si>
  <si>
    <t>Total investments</t>
  </si>
  <si>
    <t>Cash</t>
  </si>
  <si>
    <t>Accrued investment income</t>
  </si>
  <si>
    <t>Property and equipment, net</t>
  </si>
  <si>
    <t>Goodwill</t>
  </si>
  <si>
    <t>Other assets</t>
  </si>
  <si>
    <t>Separate Accounts</t>
  </si>
  <si>
    <t>Assets held for sale</t>
  </si>
  <si>
    <t>Total Assets</t>
  </si>
  <si>
    <t>Liabilities</t>
  </si>
  <si>
    <t>Reserve for property-liability insurance claims and claims expense</t>
  </si>
  <si>
    <t>Reserve for life-contingent contract benefits</t>
  </si>
  <si>
    <t>Contractholder funds</t>
  </si>
  <si>
    <t>Claim payments outstanding</t>
  </si>
  <si>
    <t>Other liabilities and accrued expenses</t>
  </si>
  <si>
    <t>Long-term debt</t>
  </si>
  <si>
    <t>Liabilities held for sale</t>
  </si>
  <si>
    <t>Total Liabilities</t>
  </si>
  <si>
    <t>Shareholders' Equity</t>
  </si>
  <si>
    <t>Preferred stock and additional capital paid-in</t>
  </si>
  <si>
    <t>Common stock</t>
  </si>
  <si>
    <t>Additional capital paid-in</t>
  </si>
  <si>
    <t>Retained income</t>
  </si>
  <si>
    <t>Deferred ESOP expense</t>
  </si>
  <si>
    <t>Treasury stock</t>
  </si>
  <si>
    <t>Total accumulated other comprehensive loss</t>
  </si>
  <si>
    <t>Total SE</t>
  </si>
  <si>
    <t>NCI</t>
  </si>
  <si>
    <t>Total Liabilities &amp; SE</t>
  </si>
  <si>
    <t>BS Check</t>
  </si>
  <si>
    <t>Model Checks</t>
  </si>
  <si>
    <t>Net Income on Revised IS = NI on CF statement</t>
  </si>
  <si>
    <t>Net Income on Reported IS = NI on Revised</t>
  </si>
  <si>
    <t>NEP = NEP in RIS</t>
  </si>
  <si>
    <t>Loss &amp; LAE = Loss &amp; LAE in RIS</t>
  </si>
  <si>
    <t>Other Operating Expense = Other Operating Expense in RIS</t>
  </si>
  <si>
    <t>Net Investment Income = Net Investment Income in RIS</t>
  </si>
  <si>
    <t>Net Investment Gain = Net Investment Gain in RIS</t>
  </si>
  <si>
    <t>Underwriting Expense = Total Expense</t>
  </si>
  <si>
    <t>GLR = GLR in BS</t>
  </si>
  <si>
    <t>RR = RR in BS</t>
  </si>
  <si>
    <t>Net Technical Reserve = NUPR + NLR</t>
  </si>
  <si>
    <t>Cash Balance Positive</t>
  </si>
  <si>
    <t>Cash Flow is not Repeated</t>
  </si>
  <si>
    <t>Income Statement is not Repeated</t>
  </si>
  <si>
    <t>Balance Sheet is not Repeated</t>
  </si>
  <si>
    <t>Ending CF = Ending Cumulative CF</t>
  </si>
  <si>
    <t>*RIS NI FY = Sum of Qs</t>
  </si>
  <si>
    <t>*RIS Adjusted NI FY = Sum of Qs</t>
  </si>
  <si>
    <t>*CFO Before WC subtotal FY = Sum of Qs</t>
  </si>
  <si>
    <t>*CFO subtotal FY = Sum of Qs</t>
  </si>
  <si>
    <t>*CFI subtotal FY = Sum of Qs</t>
  </si>
  <si>
    <t>*CFF subtotal FY = Sum of Qs</t>
  </si>
  <si>
    <t>Other Tables</t>
  </si>
  <si>
    <t>Ticker Symbol</t>
  </si>
  <si>
    <t>ALL US</t>
  </si>
  <si>
    <t>NYSE:ALL</t>
  </si>
  <si>
    <t>ALL-US</t>
  </si>
  <si>
    <t>ALL.N</t>
  </si>
  <si>
    <t>Valuation Toggle Table</t>
  </si>
  <si>
    <t>High</t>
  </si>
  <si>
    <t>Low</t>
  </si>
  <si>
    <t>Consensus Estimate Table</t>
  </si>
  <si>
    <t>FY or FQ</t>
  </si>
  <si>
    <t>Period</t>
  </si>
  <si>
    <t>Stock Price Table</t>
  </si>
  <si>
    <t>Fiscal Period Start Date</t>
  </si>
  <si>
    <t>Real-Time Off Source</t>
  </si>
  <si>
    <t>Capital IQ</t>
  </si>
  <si>
    <t>FactSet</t>
  </si>
  <si>
    <t>General Table</t>
  </si>
  <si>
    <t>Last Price</t>
  </si>
  <si>
    <t>Last Price Date</t>
  </si>
  <si>
    <t>Real-Time Stock Price</t>
  </si>
  <si>
    <t>Last Price Formula</t>
  </si>
  <si>
    <t>Trade Currency</t>
  </si>
  <si>
    <t>Trade Currency Hardcoded</t>
  </si>
  <si>
    <t>Model Sheet Currency Hardcoded</t>
  </si>
  <si>
    <t>Most Recent FX</t>
  </si>
  <si>
    <t>Most Recent FX Hardcoded</t>
  </si>
  <si>
    <t>MRFP Column Number</t>
  </si>
  <si>
    <t>Most Recent Fiscal Period (MRFP)</t>
  </si>
  <si>
    <t>Current Fiscal Year</t>
  </si>
  <si>
    <t>Data Source Index</t>
  </si>
  <si>
    <t>Reports</t>
  </si>
  <si>
    <t>Capitalization Summary</t>
  </si>
  <si>
    <t>Underwriting Income</t>
  </si>
  <si>
    <t>Underwriting Ratio</t>
  </si>
  <si>
    <t>Investment Income</t>
  </si>
  <si>
    <t>GAAP Financials</t>
  </si>
  <si>
    <t>Tax</t>
  </si>
  <si>
    <t>Non-GAAP Financials</t>
  </si>
  <si>
    <t>Profitability Ratios</t>
  </si>
  <si>
    <t>Valuation Metrics</t>
  </si>
  <si>
    <t>Check</t>
  </si>
  <si>
    <t>GAAP NI</t>
  </si>
  <si>
    <t>UI</t>
  </si>
  <si>
    <t>Update Date</t>
  </si>
  <si>
    <t>Updated By (Initials)</t>
  </si>
  <si>
    <t>Update Type</t>
  </si>
  <si>
    <t>Special Comments</t>
  </si>
  <si>
    <t>Link to Press Release / News Item</t>
  </si>
  <si>
    <t>VG SW</t>
  </si>
  <si>
    <t>Annual (Earnings Report)</t>
  </si>
  <si>
    <t>Earnings Press Release</t>
  </si>
  <si>
    <t>RL &amp; ML</t>
  </si>
  <si>
    <t>Q3-2018</t>
  </si>
  <si>
    <t>IP &amp; JY</t>
  </si>
  <si>
    <t>Q2-2018</t>
  </si>
  <si>
    <t>WZ</t>
  </si>
  <si>
    <t>Q1-2018</t>
  </si>
  <si>
    <t>BZ &amp; PP</t>
  </si>
  <si>
    <t>FY2017</t>
  </si>
  <si>
    <t>BZ VT</t>
  </si>
  <si>
    <t>Q3-2017</t>
  </si>
  <si>
    <t>MB</t>
  </si>
  <si>
    <t>Q2-2017</t>
  </si>
  <si>
    <t>RD</t>
  </si>
  <si>
    <t>New Build</t>
  </si>
  <si>
    <r>
      <rPr>
        <b/>
        <sz val="7"/>
        <color rgb="FF000000"/>
        <rFont val="Calibri"/>
        <family val="2"/>
        <scheme val="minor"/>
      </rPr>
      <t>DISCLAIMER</t>
    </r>
    <r>
      <rPr>
        <sz val="7"/>
        <color rgb="FF000000"/>
        <rFont val="Calibri"/>
        <family val="2"/>
        <scheme val="minor"/>
      </rPr>
      <t xml:space="preserve">
Access to and use of this model, including the data contained herein (this "Model") is subject to Tegus, Inc.'s (a successor entity to Canalyst Financial Modeling Corporation) ("Company") Terms of Use that you accepted prior to accessing this Model, the applicable Service Agreement between the Company and you (or a corporate entity that has authorized you to access and use this Model on its behalf in accordance with the terms of such Service Agreement) or other similar agreement between you and the Company. BY CONTINUING TO ACCESS OR USE THIS MODEL, YOU EXPRESSLY AGREE TO THE TERMS AND CONDITIONS OF SUCH AGREEMENTS.
</t>
    </r>
    <r>
      <rPr>
        <b/>
        <sz val="7"/>
        <color rgb="FF000000"/>
        <rFont val="Calibri"/>
        <family val="2"/>
        <scheme val="minor"/>
      </rPr>
      <t>The Company and certain of its licensors have exclusive proprietary rights in this Model. This Model is being provided for internal use only. Unless prior written consent by the Company and its licensors has been provided to you, you may not distribute or otherwise furnish this Model to any third party, nor use or permit anyone to use this Model for any unlawful or unauthorized purpose. IF YOU HAVE UNLAWFULLY OBTAINED, OR ARE NOT AUTHORIZED TO USE THIS MODEL, YOU ARE OBLIGATED TO PROMPTLY: (I) RETURN THIS MODEL (AND ANY DERIVATIVE WORKS ARISING FROM OR RELATING THERETO) TO THE AUTHORIZED USER OF THIS MODEL; (II) PROVIDE NOTICE TO THE COMPANY AT LEGAL@TEGUS.COM OF SUCH UNLAWFUL OR UNAUTHORIZED ACCESS AND USE; AND, (III) CERTIFY THAT YOU HAVE DESTROYED THIS MODEL (AND ANY DERIVATIVE WORKS ARISING FROM OR RELATING THERETO) AND ANY COPIES FROM YOUR SYSTEMS SO AS TO ENSURE THEY ARE INCAPABLE OF RETRIEVAL.</t>
    </r>
    <r>
      <rPr>
        <sz val="7"/>
        <color rgb="FF000000"/>
        <rFont val="Calibri"/>
        <family val="2"/>
        <scheme val="minor"/>
      </rPr>
      <t xml:space="preserve">
A portion of the data contained in this Model may be powered by third party contributors and their respective licensors, or derived from data provided by such contributors, including (but not limited to): (i) </t>
    </r>
    <r>
      <rPr>
        <b/>
        <sz val="7"/>
        <color rgb="FF000000"/>
        <rFont val="Calibri"/>
        <family val="2"/>
        <scheme val="minor"/>
      </rPr>
      <t>QuoteMedia Inc.</t>
    </r>
    <r>
      <rPr>
        <sz val="7"/>
        <color rgb="FF000000"/>
        <rFont val="Calibri"/>
        <family val="2"/>
        <scheme val="minor"/>
      </rPr>
      <t xml:space="preserve">: A portion of the market data is powered by Quotemedia.com. All rights reserved. Data delayed 15 minutes unless otherwise indicated; (ii) </t>
    </r>
    <r>
      <rPr>
        <b/>
        <sz val="7"/>
        <color rgb="FF000000"/>
        <rFont val="Calibri"/>
        <family val="2"/>
        <scheme val="minor"/>
      </rPr>
      <t>S&amp;P Global Market Intelligence LLC</t>
    </r>
    <r>
      <rPr>
        <sz val="7"/>
        <color rgb="FF000000"/>
        <rFont val="Calibri"/>
        <family val="2"/>
        <scheme val="minor"/>
      </rPr>
      <t xml:space="preserve">: Copyright (c) {{YEAR}} S&amp;P Global Market Intelligence LLC (and its affiliates as applicable). All rights reserved. Reproduction of any information, opinions, views, data or material, including ratings ("Content") in any form is prohibited except with the prior written permission of the relevant party. Such party, its affiliates and suppliers ("Content Providers") do not guarantee the accuracy, adequacy, completeness, timeliness or availability of any Content and are not responsible for any errors or omissions (negligent or otherwise), regardless of the cause, or for the results obtained from the use of such Content. In no event shall Content Providers be liable for any damages, costs, expenses, legal fees, or losses (including lost income or lost profit and opportunity costs) in connection with any use of the Content. A reference to a particular investment or security, a rating or any observation concerning an investment that is part of the Content is not a recommendation to buy, sell or hold such investment or security, does not address the suitability of an investment or security and should not be relied on as investment advice. Credit ratings are statements of opinions and are not statements of fact; and, (iii) </t>
    </r>
    <r>
      <rPr>
        <b/>
        <sz val="7"/>
        <color rgb="FF000000"/>
        <rFont val="Calibri"/>
        <family val="2"/>
        <scheme val="minor"/>
      </rPr>
      <t>Refinitiv Canada Holdings Limited</t>
    </r>
    <r>
      <rPr>
        <sz val="7"/>
        <color rgb="FF000000"/>
        <rFont val="Calibri"/>
        <family val="2"/>
        <scheme val="minor"/>
      </rPr>
      <t xml:space="preserve">: A portion of the information may be provided by or derived from data provided by Refinitiv.
By accessing or using this Model (including any portion of the data contained herein) you expressly represent that such access or use does not constitute a violation of any applicable law or regulation to which you or the securities are subject.
This Model does not constitute investment advice by the Company or any of its licensors. Reference to a particular investment or security, credit rating or any observation concerning a security or investment in this Model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as such, it is your responsibility to express your own views on projected results. This Model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Model.
This Model is a quantitative tool with no investment views. The Company and its respective directors, officers, employees, agents, contractors, and affiliates may hold long or short positions in the security to which this Model relates, based on their personal views, and may initiate or close out any positions in such security at any time without any notice.
</t>
    </r>
    <r>
      <rPr>
        <b/>
        <sz val="7"/>
        <color rgb="FF000000"/>
        <rFont val="Calibri"/>
        <family val="2"/>
        <scheme val="minor"/>
      </rPr>
      <t>THIS MODEL IS PROVIDED "AS IS" AND ON AN "AS AVAILABLE" BASIS ONLY, WITHOUT WARRANTIES OR CONDITIONS OF ANY KIND. NEITHER THE COMPANY NOR ANY OF ITS LICENSORS NOR THEIR RESPECTIVE AFFILIATES OR SUPPLIERS HAVE LIABILITY FOR THE ACCURACY, TIMELINESS OR COMPLETENESS OF THIS MODEL, OR FOR DELAYS, INTERRUPTIONS OR OMISSIONS HEREIN, NOR FOR ANY LOST PROFITS, INDIRECT, SPECIAL OR CONSEQUENTIAL DAMAGES.</t>
    </r>
    <r>
      <rPr>
        <sz val="7"/>
        <color rgb="FF000000"/>
        <rFont val="Calibri"/>
        <family val="2"/>
        <scheme val="minor"/>
      </rPr>
      <t xml:space="preserve"> Access to data in this Model that is sourced from third party contributors is subject to termination in the event that any agreement between the Company and such third party contributors terminates for any reason.
</t>
    </r>
    <r>
      <rPr>
        <b/>
        <sz val="7"/>
        <color rgb="FF000000"/>
        <rFont val="Calibri"/>
        <family val="2"/>
        <scheme val="minor"/>
      </rPr>
      <t>Copyright 2023 Tegus. All rights reserved.</t>
    </r>
  </si>
  <si>
    <t>Is Historical Period</t>
  </si>
  <si>
    <t>Pension and other postretirement remeasurement gains and losses</t>
  </si>
  <si>
    <t>YY</t>
  </si>
  <si>
    <t>Q1-2019</t>
  </si>
  <si>
    <t>OG NQ</t>
  </si>
  <si>
    <t>Q2-2019</t>
  </si>
  <si>
    <t>First Forecast Fiscal Year</t>
  </si>
  <si>
    <t>Q3-2019</t>
  </si>
  <si>
    <t>Impairment of Intangibles</t>
  </si>
  <si>
    <t>Reserve Ratio, %</t>
  </si>
  <si>
    <t>Solvency Ratio, %</t>
  </si>
  <si>
    <t>Return on Average Total Assets, %</t>
  </si>
  <si>
    <t>Return on Average Common Equity, %</t>
  </si>
  <si>
    <t>Return on Average Tangible Common Equity, %</t>
  </si>
  <si>
    <t>ArS NQ</t>
  </si>
  <si>
    <t>Allstate Auto net written premiums, mm</t>
  </si>
  <si>
    <t>Allstate Homeowners net written premiums, mm</t>
  </si>
  <si>
    <t>Allstate Other personal lines net written premiums, mm</t>
  </si>
  <si>
    <t>Allstate Commercial lines net written premiums, mm</t>
  </si>
  <si>
    <t>Esurance Auto net written premiums, mm</t>
  </si>
  <si>
    <t>Esurance Homeowners net written premiums, mm</t>
  </si>
  <si>
    <t>Esurance Other personal lines net written premiums, mm</t>
  </si>
  <si>
    <t>Encompass Auto net written premiums, mm</t>
  </si>
  <si>
    <t>Encompass Homeowners net written premiums, mm</t>
  </si>
  <si>
    <t>Encompass Other personal lines net written premiums, mm</t>
  </si>
  <si>
    <t>Total Allstate net written premiums, mm</t>
  </si>
  <si>
    <t>Total Esurance net written premiums, mm</t>
  </si>
  <si>
    <t>Total Encompass net written premiums, mm</t>
  </si>
  <si>
    <t>Allstate Protection Plans net written premiums, mm</t>
  </si>
  <si>
    <t>Allstate Dealer Services net written premiums, mm</t>
  </si>
  <si>
    <t>Allstate Roadside Services net written premiums, mm</t>
  </si>
  <si>
    <t>Property - Liability net written premiums, mm</t>
  </si>
  <si>
    <t>Allstate Other business lines net written premiums, mm</t>
  </si>
  <si>
    <t>Total Premiums Written, mm</t>
  </si>
  <si>
    <t>Allstate Protection underwriting expense, mm</t>
  </si>
  <si>
    <t>Allstate Protection underwriting income, mm</t>
  </si>
  <si>
    <t>OG</t>
  </si>
  <si>
    <t>Model Improvement</t>
  </si>
  <si>
    <t>Premium Breakdown</t>
  </si>
  <si>
    <t>Allstate Protection net written premiums, mm</t>
  </si>
  <si>
    <t>Allstate Protection net ceded premiums, mm</t>
  </si>
  <si>
    <t>Allstate Protection net earned premiums, mm</t>
  </si>
  <si>
    <t>UI Breakdown</t>
  </si>
  <si>
    <t>Allstate Protection loss and LAE ratio, %</t>
  </si>
  <si>
    <t>Realized capital gains and losses, after-tax</t>
  </si>
  <si>
    <t>Pension and other postretirement remeasurement gains and losses, after-tax</t>
  </si>
  <si>
    <t>Valuation changes on embedded derivatives not hedged, after-tax</t>
  </si>
  <si>
    <t>Reclassification of periodic settlements and accruals on non-hedge derivative instruments, after-tax</t>
  </si>
  <si>
    <t>Business combination expenses and the amortization of purchased intangibles, after-tax</t>
  </si>
  <si>
    <t>Impairment of purchased intangibles, after-tax</t>
  </si>
  <si>
    <t>Gain on disposition of operations, after-tax</t>
  </si>
  <si>
    <t>Tax legislation benefit</t>
  </si>
  <si>
    <t>Adjusted net income</t>
  </si>
  <si>
    <t>Amortization of purchased intangible assets, after-tax</t>
  </si>
  <si>
    <t>Change in accounting for investments in qualified affordable housing projects, after-tax</t>
  </si>
  <si>
    <t>DAC and DSI unlocking relating to realized capital gains and losses, after-tax</t>
  </si>
  <si>
    <t>Loss extinguishment of debt</t>
  </si>
  <si>
    <t>Postretirement benefits curtailment gain, after-tax</t>
  </si>
  <si>
    <t>DAC and DSI amortization rating to realized capital gains and losses and valuation changes on embedded derivatives not hedged, after tax</t>
  </si>
  <si>
    <t>Adjusted Earnings Per Share - WAD</t>
  </si>
  <si>
    <t xml:space="preserve">Restated </t>
  </si>
  <si>
    <t>Allstate Protection other operating expense ratio, %</t>
  </si>
  <si>
    <t>Most Recent Period</t>
  </si>
  <si>
    <t>Quarterly (Earnings Report)</t>
  </si>
  <si>
    <t>FY2018</t>
  </si>
  <si>
    <t>Q1-2017</t>
  </si>
  <si>
    <t>FY2019</t>
  </si>
  <si>
    <t>ArS ML</t>
  </si>
  <si>
    <t>Key Outputs</t>
  </si>
  <si>
    <t>Q1-2020</t>
  </si>
  <si>
    <t>NQ</t>
  </si>
  <si>
    <t>Shelter in place payback expense</t>
  </si>
  <si>
    <t>Property &amp; Liability - Premiums written, mm</t>
  </si>
  <si>
    <t>Property &amp; Liability - Decrease (increase) in unearned premiums, mm</t>
  </si>
  <si>
    <t>Property &amp; Liability - Other, mm</t>
  </si>
  <si>
    <t>Property &amp; Liability - Premiums earned, mm</t>
  </si>
  <si>
    <t>Property &amp; Liability - Other revenue, mm</t>
  </si>
  <si>
    <t>Property &amp; Liability - Claims and claims expense, mm</t>
  </si>
  <si>
    <t>Property &amp; Liability - Shelter-in-Place Payback expense, mm</t>
  </si>
  <si>
    <t>Property &amp; Liability - Amortization of deferred policy acquisition costs, mm</t>
  </si>
  <si>
    <t>Property &amp; Liability - Operating costs and expenses, mm</t>
  </si>
  <si>
    <t>Property &amp; Liability - Restructuring and related charges, mm</t>
  </si>
  <si>
    <t>Property &amp; Liability - Impairment of purchased intangibles, mm</t>
  </si>
  <si>
    <t>Property &amp; Liability - Underwriting income, mm</t>
  </si>
  <si>
    <t>Property &amp; Liability - Net investment income, mm</t>
  </si>
  <si>
    <t>Property &amp; Liability - Income tax expense on operations, mm</t>
  </si>
  <si>
    <t>Property &amp; Liability - Realized capital gains (losses), after-tax, mm</t>
  </si>
  <si>
    <t>Property &amp; Liability - Net income applicable to common shareholders, mm</t>
  </si>
  <si>
    <t>Property &amp; Liability - Loss ratio, %</t>
  </si>
  <si>
    <t>Property &amp; Liability - Expense ratio, %</t>
  </si>
  <si>
    <t>Property &amp; Liability - Combined ratio, %</t>
  </si>
  <si>
    <t>Property &amp; Liability - Effect of catastrophe losses, %</t>
  </si>
  <si>
    <t>Property &amp; Liability - Effect of prior year non-catastrophe reserve reestimates, %</t>
  </si>
  <si>
    <t>Property &amp; Liability - Effect of impairment of purchased intangibles, %</t>
  </si>
  <si>
    <t>Property &amp; Liability - Underlying combined ratio, %</t>
  </si>
  <si>
    <t>Key Metrics - Policies in Force (Supplemental)</t>
  </si>
  <si>
    <t>Landlord, 000s</t>
  </si>
  <si>
    <t>Renters, 000s</t>
  </si>
  <si>
    <t>Condominium, 000s</t>
  </si>
  <si>
    <t>Other, 000s</t>
  </si>
  <si>
    <t>Allstate Auto, 000s</t>
  </si>
  <si>
    <t>Allstate Homeowners, 000s</t>
  </si>
  <si>
    <t>Allstate Other personal lines, 000s</t>
  </si>
  <si>
    <t>Allstate Commercial lines, 000s</t>
  </si>
  <si>
    <t>Esurance Auto, 000s</t>
  </si>
  <si>
    <t>Esurance Homeowners, 000s</t>
  </si>
  <si>
    <t>Esurance Other personal lines, 000s</t>
  </si>
  <si>
    <t>Encompass Auto, 000s</t>
  </si>
  <si>
    <t>Encompass Homeowners, 000s</t>
  </si>
  <si>
    <t>Encompass Other personal lines, 000s</t>
  </si>
  <si>
    <t>Allstate Roadside Services, 000s</t>
  </si>
  <si>
    <t>Allstate Life Policies in Force, 000s</t>
  </si>
  <si>
    <t>Allstate Policies in Force, 000s</t>
  </si>
  <si>
    <t>Esurance Policies in Force, 000s</t>
  </si>
  <si>
    <t>Encompass Policies in Force, 000s</t>
  </si>
  <si>
    <t>Allstate Annuities Policies in Force, 000s</t>
  </si>
  <si>
    <t>Total Policies in Force, 000s</t>
  </si>
  <si>
    <t>Segmented Results - Corporate &amp; Other (Supplemental)</t>
  </si>
  <si>
    <t>Allstate Other business lines, 000s</t>
  </si>
  <si>
    <t>Allstate Canada, 000s</t>
  </si>
  <si>
    <t>Allstate Involuntary auto, 000s</t>
  </si>
  <si>
    <t>Allstate Specialty auto, 000s</t>
  </si>
  <si>
    <t>Property &amp; Liability - Gain on disposition of operations, after-tax, mm</t>
  </si>
  <si>
    <t>Property &amp; Liability - Change in accounting for investments in qualified  affordable housing projects, after-tax, mm</t>
  </si>
  <si>
    <t>Property &amp; Liability - Tax Legislation expense, mm</t>
  </si>
  <si>
    <t>Property &amp; Liability - Periodic settlements and accruals on non-hedge derivative instruments, mm</t>
  </si>
  <si>
    <t>Property &amp; Liability - Amortization of purchased intangible assets, mm</t>
  </si>
  <si>
    <t>Property &amp; Liability - Reclassification of periodic settlements and accruals on non-hedge derivative instruments, after-tax, mm</t>
  </si>
  <si>
    <t>Property &amp; Liability - Amortization of purchased intangible assets, after-tax, mm</t>
  </si>
  <si>
    <t>Allstate Excess and surplus, 000s</t>
  </si>
  <si>
    <t>Corporate &amp; Other - Net investment income, mm</t>
  </si>
  <si>
    <t>Corporate &amp; Other - Operating costs and expenses, mm</t>
  </si>
  <si>
    <t>Corporate &amp; Other - Interest expense, mm</t>
  </si>
  <si>
    <t>Corporate &amp; Other - Income tax benefit on operations, mm</t>
  </si>
  <si>
    <t>Corporate &amp; Other - Preferred stock dividends, mm</t>
  </si>
  <si>
    <t>Corporate &amp; Other - Adjusted net loss, mm</t>
  </si>
  <si>
    <t>Corporate &amp; Other - Realized capital gains (losses), after-tax, mm</t>
  </si>
  <si>
    <t>Corporate &amp; Other - Loss on extinguishment of debt, after-tax, mm</t>
  </si>
  <si>
    <t>Corporate &amp; Other - Postretirement benefits curtailment gain, after-tax, mm</t>
  </si>
  <si>
    <t>Corporate &amp; Other - Pension and other postretirement remeasurement gains (losses), after-tax, mm</t>
  </si>
  <si>
    <t>Corporate &amp; Other - Business combination expenses, after-tax, mm</t>
  </si>
  <si>
    <t>Corporate &amp; Other - Goodwill impairment, mm</t>
  </si>
  <si>
    <t>Corporate &amp; Other - Tax Legislation expense, mm</t>
  </si>
  <si>
    <t>Corporate &amp; Other - Net (loss) income applicable to common shareholders, mm</t>
  </si>
  <si>
    <t>Allstate Annuities - Net investment income, mm</t>
  </si>
  <si>
    <t>Allstate Annuities - Contract benefits, mm</t>
  </si>
  <si>
    <t>Allstate Annuities - Interest credited to contractholder funds, mm</t>
  </si>
  <si>
    <t>Allstate Annuities - Amortization of deferred policy acquisition costs, mm</t>
  </si>
  <si>
    <t>Allstate Annuities - Operating costs and expenses, mm</t>
  </si>
  <si>
    <t>Allstate Annuities - Restructuring and related charges, mm</t>
  </si>
  <si>
    <t>Allstate Annuities - Income tax benefit (expense) on operations, mm</t>
  </si>
  <si>
    <t>Allstate Life - Other revenue, mm</t>
  </si>
  <si>
    <t>Allstate Life - Net investment income, mm</t>
  </si>
  <si>
    <t>Allstate Life - Contract benefits, mm</t>
  </si>
  <si>
    <t>Allstate Life - Interest credited to contractholder funds, mm</t>
  </si>
  <si>
    <t>Allstate Life - Amortization of deferred policy acquisition costs, mm</t>
  </si>
  <si>
    <t>Allstate Life - Operating costs and expenses, mm</t>
  </si>
  <si>
    <t>Allstate Life - Restructuring and related charges, mm</t>
  </si>
  <si>
    <t>Allstate Life - Income tax expense on operations, mm</t>
  </si>
  <si>
    <t>Allstate Life - Net income applicable to common shareholders, mm</t>
  </si>
  <si>
    <t>Allstate Brand - Auto - Net premiums earned, mm</t>
  </si>
  <si>
    <t>Allstate Brand - Homeowners - Net premiums earned, mm</t>
  </si>
  <si>
    <t>Allstate Brand - Commercial lines - Net premiums earned, mm</t>
  </si>
  <si>
    <t>Allstate Brand - Other personal lines - Net premiums earned, mm</t>
  </si>
  <si>
    <t>Allstate Brand - Net premiums earned, mm</t>
  </si>
  <si>
    <t>Allstate Brand - Auto - Other revenue, mm</t>
  </si>
  <si>
    <t>Allstate Brand - Homeowners - Other revenue, mm</t>
  </si>
  <si>
    <t>Allstate Brand - Other personal lines - Other revenue, mm</t>
  </si>
  <si>
    <t>Allstate Brand - Commercial lines - Other revenue, mm</t>
  </si>
  <si>
    <t>Allstate Brand - Other revenue, mm</t>
  </si>
  <si>
    <t>Allstate Brand - Auto - Incurred losses, mm</t>
  </si>
  <si>
    <t>Allstate Brand - Homeowners - Incurred losses, mm</t>
  </si>
  <si>
    <t>Allstate Brand - Other personal lines - Incurred losses, mm</t>
  </si>
  <si>
    <t>Allstate Brand - Commercial lines - Incurred losses, mm</t>
  </si>
  <si>
    <t>Allstate Brand - Incurred losses, mm</t>
  </si>
  <si>
    <t>Allstate Brand - Auto - Expenses, mm</t>
  </si>
  <si>
    <t>Allstate Brand - Homeowners - Expenses, mm</t>
  </si>
  <si>
    <t>Allstate Brand - Other personal lines - Expenses, mm</t>
  </si>
  <si>
    <t>Allstate Brand - Commercial lines - Expenses, mm</t>
  </si>
  <si>
    <t>Allstate Brand - Expenses, mm</t>
  </si>
  <si>
    <t>Allstate Brand - Auto - Underwriting Income (Loss), mm</t>
  </si>
  <si>
    <t>Allstate Brand - Homeowners - Underwriting Income (Loss), mm</t>
  </si>
  <si>
    <t>Allstate Brand - Other personal lines - Underwriting Income (Loss), mm</t>
  </si>
  <si>
    <t>Allstate Brand - Commercial lines - Underwriting Income (Loss), mm</t>
  </si>
  <si>
    <t>Allstate Brand - Underwriting Income (Loss), mm</t>
  </si>
  <si>
    <t>Allstate Brand - Loss ratio, %</t>
  </si>
  <si>
    <t>Allstate Brand - Expense ratio, %</t>
  </si>
  <si>
    <t>Allstate Brand - Combined ratio, %</t>
  </si>
  <si>
    <t>Allstate Brand - Effect of catastrophe losses, %</t>
  </si>
  <si>
    <t>Allstate Brand - Effect of prior year non-catastrophe reserve reestimates, %</t>
  </si>
  <si>
    <t>Allstate Brand - Underlying Combined ratio, %</t>
  </si>
  <si>
    <t>Allstate Brand - Other business lines - Other revenue, mm</t>
  </si>
  <si>
    <t>Allstate Brand - Other business lines - Expenses, mm</t>
  </si>
  <si>
    <t>Allstate Brand - Other business lines - Underwriting Income (Loss), mm</t>
  </si>
  <si>
    <t>Esurance Brand - Auto - Net premiums earned, mm</t>
  </si>
  <si>
    <t>Esurance Brand - Homeowners - Net premiums earned, mm</t>
  </si>
  <si>
    <t>Esurance Brand - Other personal lines - Net premiums earned, mm</t>
  </si>
  <si>
    <t>Esurance Brand - Net premiums earned, mm</t>
  </si>
  <si>
    <t>Esurance Brand - Auto - Other revenue, mm</t>
  </si>
  <si>
    <t>Esurance Brand - Other revenue, mm</t>
  </si>
  <si>
    <t>Esurance Brand - Auto - Incurred losses, mm</t>
  </si>
  <si>
    <t>Esurance Brand - Homeowners - Incurred losses, mm</t>
  </si>
  <si>
    <t>Esurance Brand - Other personal lines - Incurred losses, mm</t>
  </si>
  <si>
    <t>Esurance Brand - Incurred losses, mm</t>
  </si>
  <si>
    <t>Esurance Brand - Auto - Expenses, mm</t>
  </si>
  <si>
    <t>Esurance Brand - Homeowners - Expenses, mm</t>
  </si>
  <si>
    <t>Esurance Brand - Other personal lines - Expenses, mm</t>
  </si>
  <si>
    <t>Esurance Brand - Expenses, mm</t>
  </si>
  <si>
    <t>Esurance Brand - Auto - Underwriting Income (Loss), mm</t>
  </si>
  <si>
    <t>Esurance Brand - Homeowners - Underwriting Income (Loss), mm</t>
  </si>
  <si>
    <t>Esurance Brand - Other personal lines - Underwriting Income (Loss), mm</t>
  </si>
  <si>
    <t>Esurance Brand - Underwriting Income (Loss), mm</t>
  </si>
  <si>
    <t>Esurance Brand - Loss ratio, %</t>
  </si>
  <si>
    <t>Esurance Brand - Expense ratio, %</t>
  </si>
  <si>
    <t>Esurance Brand - Combined ratio, %</t>
  </si>
  <si>
    <t>Esurance Brand - Effect of catastrophe losses, %</t>
  </si>
  <si>
    <t>Esurance Brand - Effect of prior year non-catastrophe reserve reestimates, %</t>
  </si>
  <si>
    <t>Esurance Brand - Underlying Combined ratio, %</t>
  </si>
  <si>
    <t>Esurance Brand - Effect of amortization of purchased intangibles, %</t>
  </si>
  <si>
    <t>Esurance Brand - Effect of impairment of purchased intangibles, %</t>
  </si>
  <si>
    <t>Encompass Brand - Auto - Net premiums earned, mm</t>
  </si>
  <si>
    <t>Encompass Brand - Homeowners - Net premiums earned, mm</t>
  </si>
  <si>
    <t>Encompass Brand - Other personal lines - Net premiums earned, mm</t>
  </si>
  <si>
    <t>Encompass Brand - Net premiums earned, mm</t>
  </si>
  <si>
    <t>Encompass Brand - Auto - Other revenue, mm</t>
  </si>
  <si>
    <t>Encompass Brand - Homeowners - Other revenue, mm</t>
  </si>
  <si>
    <t>Encompass Brand - Other revenue, mm</t>
  </si>
  <si>
    <t>Encompass Brand - Auto - Incurred losses, mm</t>
  </si>
  <si>
    <t>Encompass Brand - Homeowners - Incurred losses, mm</t>
  </si>
  <si>
    <t>Encompass Brand - Other personal lines - Incurred losses, mm</t>
  </si>
  <si>
    <t>Encompass Brand - Incurred losses, mm</t>
  </si>
  <si>
    <t>Encompass Brand - Auto - Expenses, mm</t>
  </si>
  <si>
    <t>Encompass Brand - Homeowners - Expenses, mm</t>
  </si>
  <si>
    <t>Encompass Brand - Other personal lines - Expenses, mm</t>
  </si>
  <si>
    <t>Encompass Brand - Expenses, mm</t>
  </si>
  <si>
    <t>Encompass Brand - Auto - Underwriting Income (Loss), mm</t>
  </si>
  <si>
    <t>Encompass Brand - Homeowners - Underwriting Income (Loss), mm</t>
  </si>
  <si>
    <t>Encompass Brand - Other personal lines - Underwriting Income (Loss), mm</t>
  </si>
  <si>
    <t>Encompass Brand - Underwriting Income (Loss), mm</t>
  </si>
  <si>
    <t>Encompass Brand - Loss ratio, %</t>
  </si>
  <si>
    <t>Encompass Brand - Expense ratio, %</t>
  </si>
  <si>
    <t>Encompass Brand - Combined ratio, %</t>
  </si>
  <si>
    <t>Encompass Brand - Effect of catastrophe losses, %</t>
  </si>
  <si>
    <t>Encompass Brand - Effect of prior year non-catastrophe reserve reestimates, %</t>
  </si>
  <si>
    <t>Encompass Brand - Underlying Combined ratio, %</t>
  </si>
  <si>
    <t>Encompass Brand - Other personal lines - Other revenue, mm</t>
  </si>
  <si>
    <t>Allstate Brand - Other business lines - Net premiums earned, mm</t>
  </si>
  <si>
    <t>Allstate Brand - Other commercial lines - Incurred losses, mm</t>
  </si>
  <si>
    <t>Allstate Protection net written premiums growth, %</t>
  </si>
  <si>
    <t>Allstate Protection net earned premiums growth, %</t>
  </si>
  <si>
    <t>Underwriting Income - Property &amp; Liability (FS/Supplemental)</t>
  </si>
  <si>
    <t>Total Property &amp; Liability Net Written Premiums, mm</t>
  </si>
  <si>
    <t>Total Property &amp; Liability Net Ceded Premiums, mm</t>
  </si>
  <si>
    <t>Total Property &amp; Liability Net Earned Premiums, mm</t>
  </si>
  <si>
    <t>Total Property &amp; Liability Loss and LAE, mm</t>
  </si>
  <si>
    <t>Total Property &amp; Liability Other Operating Expense, mm</t>
  </si>
  <si>
    <t>Total Property &amp; Liability Underwriting Expense, mm</t>
  </si>
  <si>
    <t>Total Property &amp; Liability Underwriting Income, mm</t>
  </si>
  <si>
    <t>Property &amp; Liability - Percentage of Total Written Premiums Earned, %</t>
  </si>
  <si>
    <t>Allstate Protection percentage of written premiums earned, %</t>
  </si>
  <si>
    <t>Allstate Protection combined ratio, %</t>
  </si>
  <si>
    <t>Debt to Capital Ratio, %</t>
  </si>
  <si>
    <t>Allstate Annuities - Contractholder Funds - Beginning of Period, mm</t>
  </si>
  <si>
    <t>Allstate Annuities - Total Revenues, mm</t>
  </si>
  <si>
    <t>Allstate Annuities - EBT, mm</t>
  </si>
  <si>
    <t>Allstate Annuities - Realized capital gains (losses), mm</t>
  </si>
  <si>
    <t>Allstate Annuities - Net income applicable to common shareholders, mm</t>
  </si>
  <si>
    <t>Allstate Annuities - Gain on disposition of operations, mm</t>
  </si>
  <si>
    <t>Allstate Life - Realized capital gains (losses), mm</t>
  </si>
  <si>
    <t>Allstate Life - Total Revenue, mm</t>
  </si>
  <si>
    <t>Allstate Life - EBT, mm</t>
  </si>
  <si>
    <t>Allstate Life - Premium and contract charges, mm</t>
  </si>
  <si>
    <t>Allstate Annuities - Contract charges, mm</t>
  </si>
  <si>
    <t>Allstate Life - Loss on disposition of operations, mm</t>
  </si>
  <si>
    <t>Allstate Annuities - Contractholder Funds - Change, mm</t>
  </si>
  <si>
    <t>Allstate Annuities - Contractholder Funds - End of Period, mm</t>
  </si>
  <si>
    <t>Allstate Annuities - Contractholder Funds - Avg. of Period, mm</t>
  </si>
  <si>
    <t>Contract Charges as % of Avg. Contractholder Funds (Annualized), %</t>
  </si>
  <si>
    <t>Interest Credited as % of Avg. Contractholder Funds (Annualized), %</t>
  </si>
  <si>
    <t>Change in Allstate Annuities - Contractholder Funds - End of Period, %</t>
  </si>
  <si>
    <t>Allstate Life - Contractholder Funds - Beginning of Period, mm</t>
  </si>
  <si>
    <t>Allstate Life - Contractholder Funds - Change, mm</t>
  </si>
  <si>
    <t>Allstate Life - Contractholder Funds - End of Period, mm</t>
  </si>
  <si>
    <t>Allstate Life - Contractholder Funds - Avg. of Period, mm</t>
  </si>
  <si>
    <t>Change in Allstate Life - Contractholder Funds - End of Period, %</t>
  </si>
  <si>
    <t>Premiums and Contract Charges as % of Avg. Contractholder Funds (Annualized), %</t>
  </si>
  <si>
    <t>Contractholder Funds &amp; Investments - Allstate Life (FS)</t>
  </si>
  <si>
    <t>Allstate Annuities - Investments - Beginning of Period, mm</t>
  </si>
  <si>
    <t>Allstate Annuities - Investments - Change, mm</t>
  </si>
  <si>
    <t>Allstate Annuities - Investments - End of Period, mm</t>
  </si>
  <si>
    <t>Allstate Annuities - Investments - Avg. of Period, mm</t>
  </si>
  <si>
    <t>Change in Allstate Annuities - Investments - End of Period, %</t>
  </si>
  <si>
    <t>Allstate Annuities - Net Investment Income Yield (Annualized), %</t>
  </si>
  <si>
    <t>Allstate Life - Investments - Beginning of Period, mm</t>
  </si>
  <si>
    <t>Allstate Life - Investments - Change, mm</t>
  </si>
  <si>
    <t>Allstate Life - Investments - End of Period, mm</t>
  </si>
  <si>
    <t>Allstate Life - Investments - Avg. of Period, mm</t>
  </si>
  <si>
    <t>Change in Allstate Life - Investments - End of Period, %</t>
  </si>
  <si>
    <t>Allstate Life - Net Investment Income Yield (Annualized), %</t>
  </si>
  <si>
    <t>Contractholder Funds &amp; Investments - Allstate Annuities (FS)</t>
  </si>
  <si>
    <t>Allstate Life - Benefit ratio, %</t>
  </si>
  <si>
    <t>Allstate Life - Operating expense ratio, %</t>
  </si>
  <si>
    <t>Change in Allstate Life - Other revenue, %</t>
  </si>
  <si>
    <t>Amortization of DAC as % of Avg. Contractholder Funds (Annualized), %</t>
  </si>
  <si>
    <t>Property &amp; Liability - EBT - implied, mm</t>
  </si>
  <si>
    <t>Investment Income - Property &amp; Liability (FS)</t>
  </si>
  <si>
    <t>Consolidated Investment Income (Supplemental)</t>
  </si>
  <si>
    <t>Property &amp; Liability - Investments - Beginning of Period, mm</t>
  </si>
  <si>
    <t>Property &amp; Liability - Investments - Change, mm</t>
  </si>
  <si>
    <t>Property &amp; Liability - Investments - End of Period, mm</t>
  </si>
  <si>
    <t>Property &amp; Liability - Investments - Avg. of Period, mm</t>
  </si>
  <si>
    <t>Change in Property &amp; Liability - Investments - End of Period, %</t>
  </si>
  <si>
    <t>Property &amp; Liability - Net Investment Income Yield (Annualized), %</t>
  </si>
  <si>
    <t>Corporate &amp; Other - Investments - End of Period, mm</t>
  </si>
  <si>
    <t>Total Investments - End of Period, mm</t>
  </si>
  <si>
    <t>Investment Income - Corporate &amp; Other (FS)</t>
  </si>
  <si>
    <t>Corporate &amp; Other - Investments - Beginning of Period, mm</t>
  </si>
  <si>
    <t>Corporate &amp; Other - Investments - Change, mm</t>
  </si>
  <si>
    <t>Corporate &amp; Other - Investments - Avg. of Period, mm</t>
  </si>
  <si>
    <t>Change in Corporate &amp; Other - Investments - End of Period, %</t>
  </si>
  <si>
    <t>Corporate &amp; Other - Net Investment Income Yield (Annualized), %</t>
  </si>
  <si>
    <t>Ending Investments = Ending Investments in BS</t>
  </si>
  <si>
    <t>Segmented Results - Revenue Breakdown (FS/Supplemental)</t>
  </si>
  <si>
    <t>Property &amp; Liability Total Revenue, mm</t>
  </si>
  <si>
    <t>Allstate Life Total Revenue, mm</t>
  </si>
  <si>
    <t>Allstate Annuities Total Revenue, mm</t>
  </si>
  <si>
    <t>Corporate &amp; Other Total Revenue, mm</t>
  </si>
  <si>
    <t>Intersegment eliminations, mm</t>
  </si>
  <si>
    <t>Total Consolidated Revenues, mm</t>
  </si>
  <si>
    <t>Property &amp; Liability - Realized capital gains and losses, mm</t>
  </si>
  <si>
    <t>Segmented Results - Property &amp; Liability (FS &amp; Supplemental)</t>
  </si>
  <si>
    <t>Corporate &amp; Other - Realized capital gains (losses), mm</t>
  </si>
  <si>
    <t>Property &amp; Liability Net Written Premiums Growth, %</t>
  </si>
  <si>
    <t>Property &amp; Liability Net Earned Premiums Growth, %</t>
  </si>
  <si>
    <t>Property &amp; Liability Underwriting Income Growth, %</t>
  </si>
  <si>
    <t>Allstate Life Revenue Growth, %</t>
  </si>
  <si>
    <t>Allstate Annuities Revenue Growth, %</t>
  </si>
  <si>
    <t>Total Consolidated Revenue Growth, %</t>
  </si>
  <si>
    <t>Property &amp; Liability Revenue Growth, %</t>
  </si>
  <si>
    <t>Corporate &amp; Other - EBT - implied, mm</t>
  </si>
  <si>
    <t>Revenue Breakdown</t>
  </si>
  <si>
    <t>Property &amp; Liability - Loss and LAE Ratio, %</t>
  </si>
  <si>
    <t>Property &amp; Liability - Other Operating Expense Ratio, %</t>
  </si>
  <si>
    <t>Property &amp; Liability - Combined Ratio, %</t>
  </si>
  <si>
    <t>Capital Resources</t>
  </si>
  <si>
    <t>Short-term debt</t>
  </si>
  <si>
    <t>Total Debt</t>
  </si>
  <si>
    <t>Total Shareholders' Equity</t>
  </si>
  <si>
    <t>Total Capitalization</t>
  </si>
  <si>
    <t>Net Debt Issuance (Repayment)</t>
  </si>
  <si>
    <t>Net Share Issuance (Buybacks)</t>
  </si>
  <si>
    <t>Estimated Share Price for Issuance/Buybacks, USD</t>
  </si>
  <si>
    <t>Effective Interest Rate on Debt, %</t>
  </si>
  <si>
    <t>Q2-2020</t>
  </si>
  <si>
    <t>Q3-2020</t>
  </si>
  <si>
    <t>Premium deficiency for immediate annuities, after-tax</t>
  </si>
  <si>
    <t>Curtailment gain, after-tax</t>
  </si>
  <si>
    <t>Corporate &amp; Other - Curtailment gain, after-tax, mm</t>
  </si>
  <si>
    <t>OFF</t>
  </si>
  <si>
    <t>Refinitiv</t>
  </si>
  <si>
    <t>FY2020</t>
  </si>
  <si>
    <t>Initial (Press Release)</t>
  </si>
  <si>
    <t>Allstate Brand - Effect of amortization of purchased intangibles, %</t>
  </si>
  <si>
    <t>Other Protection Services net written premiums, mm</t>
  </si>
  <si>
    <t>Q1-2021</t>
  </si>
  <si>
    <t>Loss of disposition of operations</t>
  </si>
  <si>
    <t>Cash classified as assets held for sale at end of period</t>
  </si>
  <si>
    <t>Net loss attributable to noncontrolling interest</t>
  </si>
  <si>
    <t>Net (loss) income attributable to Allstate</t>
  </si>
  <si>
    <t>Net income from continuing operations</t>
  </si>
  <si>
    <t>Loss from discontinued operations, net of tax</t>
  </si>
  <si>
    <t>Net (loss) income</t>
  </si>
  <si>
    <t>Income tax expense (benefit)</t>
  </si>
  <si>
    <t>(Income) loss from discontinued operations</t>
  </si>
  <si>
    <t>Corporate &amp; Other - Restructuring and related expenses, mm</t>
  </si>
  <si>
    <t>Accident and health insurance policy benefits</t>
  </si>
  <si>
    <t>Restated</t>
  </si>
  <si>
    <t>Protection Services Revenue Growth, %</t>
  </si>
  <si>
    <t>Protection Services Total Revenue, mm</t>
  </si>
  <si>
    <t>Segmented Results - Protection Services (FS)</t>
  </si>
  <si>
    <t>Protection Services - Net premiums written, mm</t>
  </si>
  <si>
    <t>Change in Protection Services - Net premiums written, %</t>
  </si>
  <si>
    <t>Protection Services percentage of written premiums earned, %</t>
  </si>
  <si>
    <t>Protection Services - Net premiums earned, mm</t>
  </si>
  <si>
    <t>Protection Services - Other revenue, mm</t>
  </si>
  <si>
    <t>Protection Services - Intersegment insurance premiums and service fees, mm</t>
  </si>
  <si>
    <t>Protection Services - Net investment income, mm</t>
  </si>
  <si>
    <t>Protection Services - Realized capital gains (losses), mm</t>
  </si>
  <si>
    <t>Protection Services - Total Revenue, mm</t>
  </si>
  <si>
    <t>Protection Services - Claims and claims expense, mm</t>
  </si>
  <si>
    <t>Protection Services - Amortization of deferred policy acquisition costs, mm</t>
  </si>
  <si>
    <t>Protection Services - Operating costs and expenses, mm</t>
  </si>
  <si>
    <t>Protection Services - Restructuring and related charges, mm</t>
  </si>
  <si>
    <t>Protection Services - Amortization of purchased intangibles, mm</t>
  </si>
  <si>
    <t>Protection Services - Impairment of purchased intangibles, mm</t>
  </si>
  <si>
    <t>Protection Services - EBT, mm</t>
  </si>
  <si>
    <t>Protection Services - Income tax (benefit) expense, mm</t>
  </si>
  <si>
    <t>Protection Services - Net loss applicable to common shareholders, mm</t>
  </si>
  <si>
    <t>Protection Services - Realized capital (gains) losses, after-tax, mm</t>
  </si>
  <si>
    <t>Protection Services - Amortization of purchased intangibles, after-tax, mm</t>
  </si>
  <si>
    <t>Protection Services - Impairment of purchased intangibles, after-tax, mm</t>
  </si>
  <si>
    <t>Protection Services - Tax Legislation expense, mm</t>
  </si>
  <si>
    <t>Protection Services - Adjusted net income, mm</t>
  </si>
  <si>
    <t>Change in Protection Services - Other revenue, %</t>
  </si>
  <si>
    <t>Change in Protection Services - Intersegment insurance premiums and service fees, %</t>
  </si>
  <si>
    <t>Protection Services loss and LAE ratio, %</t>
  </si>
  <si>
    <t>Protection Services amortization of DAC ratio, %</t>
  </si>
  <si>
    <t>Protection Services other operating expense ratio, %</t>
  </si>
  <si>
    <t>Protection Services Combined ratio, %</t>
  </si>
  <si>
    <t>Protection Services - Investments - Beginning of Period, mm</t>
  </si>
  <si>
    <t>Protection Services - Investments - Change, mm</t>
  </si>
  <si>
    <t>Protection Services - Investments - End of Period, mm</t>
  </si>
  <si>
    <t>Protection Services - Investments - Avg. of Period, mm</t>
  </si>
  <si>
    <t>Change in Protection Services - Investments - End of Period, %</t>
  </si>
  <si>
    <t>Protection Services - Net Investment Income Yield (Annualized), %</t>
  </si>
  <si>
    <t>Key Metrics - Premiums Written for Allstate Protection and Protection Services (Supplemental)</t>
  </si>
  <si>
    <t>Protection Services net written premiums, mm</t>
  </si>
  <si>
    <t>Protection Services Allstate Protection Plans, 000s</t>
  </si>
  <si>
    <t>Protection Services Allstate Dealer Services, 000s</t>
  </si>
  <si>
    <t>Protection Services Allstate Roadside Services, 000s</t>
  </si>
  <si>
    <t>Protection Services Allstate Identity Protection, 000s</t>
  </si>
  <si>
    <t>Protection Services Other Protection Services, 000s</t>
  </si>
  <si>
    <t>Protection Services Policies in Force, 000s</t>
  </si>
  <si>
    <t>Allstate Health and Benefits Revenue Growth, %</t>
  </si>
  <si>
    <t>Allstate Health and Benefits Total Revenue, mm</t>
  </si>
  <si>
    <t>Segmented Results - Allstate Health and Benefits (FS)</t>
  </si>
  <si>
    <t>Allstate Health and Benefits - Premiums and contract charges, mm</t>
  </si>
  <si>
    <t>Allstate Health and Benefits - Net investment income, mm</t>
  </si>
  <si>
    <t>Allstate Health and Benefits - Other revenue, mm</t>
  </si>
  <si>
    <t>Allstate Health and Benefits - Realized capital gains (losses), mm</t>
  </si>
  <si>
    <t>Allstate Health and Benefits - Total Revenues, mm</t>
  </si>
  <si>
    <t>Allstate Health and Benefits - Contract benefits, mm</t>
  </si>
  <si>
    <t>Allstate Health and Benefits - Interest credited to contractholder funds, mm</t>
  </si>
  <si>
    <t>Allstate Health and Benefits - Amortization of deferred policy acquisition costs, mm</t>
  </si>
  <si>
    <t>Allstate Health and Benefits - Operating costs and expenses, mm</t>
  </si>
  <si>
    <t>Allstate Health and Benefits - Restructuring and related charges, mm</t>
  </si>
  <si>
    <t>Allstate Health and Benefits - EBT, mm</t>
  </si>
  <si>
    <t>Allstate Health and Benefits - Income tax expense on operations, mm</t>
  </si>
  <si>
    <t>Allstate Health and Benefits - Net income applicable to common shareholders, mm</t>
  </si>
  <si>
    <t>Allstate Health and Benefits - Benefit ratio, %</t>
  </si>
  <si>
    <t>Allstate Health and Benefits - Operating expense ratio, %</t>
  </si>
  <si>
    <t>Contractholder Funds &amp; Investments - Allstate Health and Benefits (FS)</t>
  </si>
  <si>
    <t>Allstate Health and Benefits - Contractholder Funds - Beginning of Period, mm</t>
  </si>
  <si>
    <t>Allstate Health and Benefits - Contractholder Funds - Change, mm</t>
  </si>
  <si>
    <t>Allstate Health and Benefits - Contractholder Funds - End of Period, mm</t>
  </si>
  <si>
    <t>Allstate Health and Benefits - Contractholder Funds - Avg. of Period, mm</t>
  </si>
  <si>
    <t>Change in Allstate Health and Benefits - Contractholder Funds - End of Period, %</t>
  </si>
  <si>
    <t>Allstate Health and Benefits - Investments - Beginning of Period, mm</t>
  </si>
  <si>
    <t>Allstate Health and Benefits - Investments - Change, mm</t>
  </si>
  <si>
    <t>Allstate Health and Benefits - Investments - End of Period, mm</t>
  </si>
  <si>
    <t>Allstate Health and Benefits - Investments - Avg. of Period, mm</t>
  </si>
  <si>
    <t>Change in Allstate Health and Benefits - Investments - End of Period, %</t>
  </si>
  <si>
    <t>Allstate Health and Benefits - Net Investment Income Yield (Annualized), %</t>
  </si>
  <si>
    <t>Allstate Health and Benefits Policies in Force, 000s</t>
  </si>
  <si>
    <t>Run-off Property-Liability Business and Coverages net written premiums, mm</t>
  </si>
  <si>
    <t>Run-off Property-Liability Business and Coverages net ceded premiums, mm</t>
  </si>
  <si>
    <t>Run-off Property-Liability Business and Coverages net earned premiums, mm</t>
  </si>
  <si>
    <t>Run-off Property-Liability Business and Coverages loss and LAE, mm</t>
  </si>
  <si>
    <t>Run-off Property-Liability Business and Coverages other operating expense, mm</t>
  </si>
  <si>
    <t>Run-off Property-Liability Business and Coverages underwriting expense, mm</t>
  </si>
  <si>
    <t>Run-off Property-Liability Business and Coverages underwriting income, mm</t>
  </si>
  <si>
    <t>Allstate Protection - Auto - Net premiums written, mm</t>
  </si>
  <si>
    <t>Allstate Protection - Homeowners - Net premiums written, mm</t>
  </si>
  <si>
    <t>Allstate Protection - Other personal lines - Net premiums written, mm</t>
  </si>
  <si>
    <t>Allstate Protection - Commercial lines - Net premiums written, mm</t>
  </si>
  <si>
    <t>Allstate Protection - Auto - Net premiums earned, mm</t>
  </si>
  <si>
    <t>Allstate Protection - Homeowners - Net premiums earned, mm</t>
  </si>
  <si>
    <t>Allstate Protection - Other personal lines - Net premiums earned, mm</t>
  </si>
  <si>
    <t>Allstate Protection - Commercial lines - Net premiums earned, mm</t>
  </si>
  <si>
    <t>Allstate Protection - Auto - Loss and LAE ratio, %</t>
  </si>
  <si>
    <t>Allstate Protection - Homeowners - Loss and LAE ratio, %</t>
  </si>
  <si>
    <t>Allstate Protection - Other personal lines - Loss and LAE ratio, %</t>
  </si>
  <si>
    <t>Allstate Protection - Commercial lines - Loss and LAE ratio, %</t>
  </si>
  <si>
    <t>Allstate Protection - Auto - Combined ratio, %</t>
  </si>
  <si>
    <t>Allstate Protection - Homeowners - Combined ratio, %</t>
  </si>
  <si>
    <t>Allstate Protection - Other personal lines - Combined ratio, %</t>
  </si>
  <si>
    <t>Allstate Protection - Commercial lines - Combined ratio, %</t>
  </si>
  <si>
    <t>Allstate Protection - Auto - Loss and LAE (calculated), mm</t>
  </si>
  <si>
    <t>Allstate Protection - Homeowners - Loss and LAE (calculated), mm</t>
  </si>
  <si>
    <t>Allstate Protection - Other personal lines - Loss and LAE (calculated), mm</t>
  </si>
  <si>
    <t>Allstate Protection - Commercial lines - Loss and LAE (calculated), mm</t>
  </si>
  <si>
    <t>Allstate Protection - Auto - Underwriting Income, mm</t>
  </si>
  <si>
    <t>Allstate Protection - Homeowners - Underwriting Income, mm</t>
  </si>
  <si>
    <t>Allstate Protection - Other personal lines - Underwriting Income, mm</t>
  </si>
  <si>
    <t>Allstate Protection - Commercial lines - Underwriting Income, mm</t>
  </si>
  <si>
    <t>Allstate Protection - Other business lines - Underwriting Income, mm</t>
  </si>
  <si>
    <t>Allstate Protection - Answer Financial - Underwriting Income, mm</t>
  </si>
  <si>
    <t>Allstate Protection - Auto - Net premiums ceded, mm</t>
  </si>
  <si>
    <t>Allstate Protection - Homeowners - Net premiums ceded, mm</t>
  </si>
  <si>
    <t>Allstate Protection - Other personal lines - Net premiums ceded, mm</t>
  </si>
  <si>
    <t>Allstate Protection - Commercial lines - Net premiums ceded, mm</t>
  </si>
  <si>
    <t>Allstate Protection - Auto - other operating expenses (calculated), mm</t>
  </si>
  <si>
    <t>Allstate Protection - Homeowners - other operating expenses (calculated), mm</t>
  </si>
  <si>
    <t>Allstate Protection - Other personal lines - other operating expenses (calculated), mm</t>
  </si>
  <si>
    <t>Allstate Protection - Commercial lines - other operating expenses (calculated), mm</t>
  </si>
  <si>
    <t>Allstate Protection - Auto - Underwriting expense, mm</t>
  </si>
  <si>
    <t>Allstate Protection - Homeowners - Underwriting expense, mm</t>
  </si>
  <si>
    <t>Allstate Protection - Other personal lines - Underwriting expense, mm</t>
  </si>
  <si>
    <t>Allstate Protection - Commercial lines - Underwriting expense, mm</t>
  </si>
  <si>
    <t>Allstate Protection - Other Business lines - Net premiums written, mm</t>
  </si>
  <si>
    <t>Allstate Protection - Other Business lines - Net premiums earned, mm</t>
  </si>
  <si>
    <t>Allstate Protection - Other Business lines - Net premiums ceded, mm</t>
  </si>
  <si>
    <t>Allstate Protection - Auto - percentage of written premiums earned, %</t>
  </si>
  <si>
    <t>Allstate Protection - Homeowners - percentage of written premiums earned, %</t>
  </si>
  <si>
    <t>Allstate Protection - Other personal lines - percentage of written premiums earned, %</t>
  </si>
  <si>
    <t>Allstate Protection - Commercial lines - percentage of written premiums earned, %</t>
  </si>
  <si>
    <t>Allstate Protection - Other Business lines - percentage of written premiums earned, %</t>
  </si>
  <si>
    <t>Allstate Protection - Other Business lines - Loss and LAE (calculated), mm</t>
  </si>
  <si>
    <t>Allstate Protection - Other Business lines - other operating expenses (calculated), mm</t>
  </si>
  <si>
    <t>Allstate Protection - Auto - other operating expense ratio, %</t>
  </si>
  <si>
    <t>Allstate Protection - Homeowners - other operating expense ratio, %</t>
  </si>
  <si>
    <t>Allstate Protection - Other personal lines - other operating expense ratio, %</t>
  </si>
  <si>
    <t>Allstate Protection - Commercial lines - other operating expense ratio, %</t>
  </si>
  <si>
    <t>Allstate Protection - Other Business lines - other operating expense ratio, %</t>
  </si>
  <si>
    <t>Allstate Protection - Other Business lines - Loss and LAE ratio, %</t>
  </si>
  <si>
    <t>Allstate Protection - Other Business lines - Combined ratio, %</t>
  </si>
  <si>
    <t>Allstate Protection - Other Business lines - Underwriting expense, mm</t>
  </si>
  <si>
    <t>Underwriting Ratios - Property &amp; Liability (FS &amp; Supplemental)</t>
  </si>
  <si>
    <t>Allstate Protection loss and LAE (calculated), mm</t>
  </si>
  <si>
    <t>Allstate Protection other operating expense (calculated), mm</t>
  </si>
  <si>
    <t>Allstate Protection - Auto - Net written premiums growth, %</t>
  </si>
  <si>
    <t>Allstate Protection - Homeowners - Net written premiums growth, %</t>
  </si>
  <si>
    <t>Allstate Protection - Other personal lines - Net written premiums growth, %</t>
  </si>
  <si>
    <t>Allstate Protection - Commercial lines - Net written premiums growth, %</t>
  </si>
  <si>
    <t>Allstate Protection - Auto - net earned premiums growth, %</t>
  </si>
  <si>
    <t>Allstate Protection - Homeowners - net earned premiums growth, %</t>
  </si>
  <si>
    <t>Allstate Protection - Other personal lines - net earned premiums growth, %</t>
  </si>
  <si>
    <t>Allstate Protection - Commercial lines - net earned premiums growth, %</t>
  </si>
  <si>
    <t>Allstate Health and Benefits - Y/Y Change in Premiums and Contract Charges, %</t>
  </si>
  <si>
    <t>Investment Income - Protection Services (FS)</t>
  </si>
  <si>
    <t>Q2-2021</t>
  </si>
  <si>
    <t>Business combination fair value adjustment</t>
  </si>
  <si>
    <t>Corporate &amp; Other - Other revenue, mm</t>
  </si>
  <si>
    <t>Q3-2021</t>
  </si>
  <si>
    <t>Segmented Results - Allstate Annuities (FS) (Historical)</t>
  </si>
  <si>
    <t>Segmented Results - Allstate Life (FS) (Historical)</t>
  </si>
  <si>
    <t>Subsegmented Results - Encompass Brand (Supplemental) (Historical)</t>
  </si>
  <si>
    <t>Subsegmented Results - Esurance Brand (Supplemental) (Historical)</t>
  </si>
  <si>
    <t>Subsegmented Results - Allstate Brand (Supplemental) (Historical)</t>
  </si>
  <si>
    <t>FY2021</t>
  </si>
  <si>
    <t>Protection Services - Net income attributable to NCI, mm</t>
  </si>
  <si>
    <t>Proceeds from disposition of operations, net of cash transferred</t>
  </si>
  <si>
    <t>Allstate Protection - Auto - Effect of catastrophe losses on combined ratio, %</t>
  </si>
  <si>
    <t>Allstate Protection - Auto - Loss and LAE ratio before catastrophe losses and prior year developments, %</t>
  </si>
  <si>
    <t>Allstate Protection - Auto - Loss and LAE ratio before prior year developments, %</t>
  </si>
  <si>
    <t>Allstate Protection - Auto - Effect of prior year reserve re-estimates, %</t>
  </si>
  <si>
    <t>Allstate Protection - Auto - Effect of catastrophe losses included in prior year reserve re-estimates, %</t>
  </si>
  <si>
    <t>Allstate Protection - Homeowners - Loss and LAE ratio before catastrophe losses and prior year developments, %</t>
  </si>
  <si>
    <t>Allstate Protection - Homeowners - Effect of catastrophe losses on combined ratio, %</t>
  </si>
  <si>
    <t>Allstate Protection - Homeowners - Loss and LAE ratio before prior year developments, %</t>
  </si>
  <si>
    <t>Allstate Protection - Homeowners - Effect of prior year reserve re-estimates, %</t>
  </si>
  <si>
    <t>Allstate Protection - Homeowners - Effect of catastrophe losses included in prior year reserve re-estimates, %</t>
  </si>
  <si>
    <t>Allstate Protection - Other personal lines - Loss and LAE ratio before catastrophe losses and prior year developments, %</t>
  </si>
  <si>
    <t>Allstate Protection - Other personal lines - Effect of catastrophe losses on combined ratio, %</t>
  </si>
  <si>
    <t>Allstate Protection - Other personal lines - Loss and LAE ratio before prior year developments, %</t>
  </si>
  <si>
    <t>Allstate Protection - Other personal lines - Effect of prior year reserve re-estimates, %</t>
  </si>
  <si>
    <t>Allstate Protection - Other personal lines - Effect of catastrophe losses included in prior year reserve re-estimates, %</t>
  </si>
  <si>
    <t>Allstate Protection - Commercial lines - Loss and LAE ratio before catastrophe losses and prior year developments, %</t>
  </si>
  <si>
    <t>Allstate Protection - Commercial lines - Effect of catastrophe losses on combined ratio, %</t>
  </si>
  <si>
    <t>Allstate Protection - Commercial lines - Loss and LAE ratio before prior year developments, %</t>
  </si>
  <si>
    <t>Allstate Protection - Commercial lines - Effect of prior year reserve re-estimates, %</t>
  </si>
  <si>
    <t>Allstate Protection - Commercial lines - Effect of catastrophe losses included in prior year reserve re-estimates, %</t>
  </si>
  <si>
    <t>Allstate Protection - Auto - Loss and LAE before catastrophe losses and prior year developments, mm</t>
  </si>
  <si>
    <t>Allstate Protection - Auto - Effect of catastrophe losses, mm</t>
  </si>
  <si>
    <t>Allstate Protection - Auto - Loss and LAE before prior year developments, mm</t>
  </si>
  <si>
    <t>Allstate Protection - Auto - Effect of prior year reserve re-estimates, mm</t>
  </si>
  <si>
    <t>Allstate Protection - Auto - Effect of catastrophe losses included in prior year reserve re-estimates, mm</t>
  </si>
  <si>
    <t>Allstate Protection - Homeowners - Loss and LAE before catastrophe losses and prior year developments, mm</t>
  </si>
  <si>
    <t>Allstate Protection - Homeowners - Effect of catastrophe losses, mm</t>
  </si>
  <si>
    <t>Allstate Protection - Homeowners - Loss and LAE before prior year developments, mm</t>
  </si>
  <si>
    <t>Allstate Protection - Homeowners - Effect of prior year reserve re-estimates, mm</t>
  </si>
  <si>
    <t>Allstate Protection - Homeowners - Effect of catastrophe losses included in prior year reserve re-estimates, mm</t>
  </si>
  <si>
    <t>Allstate Protection - Other personal lines - Loss and LAE before catastrophe losses and prior year developments, mm</t>
  </si>
  <si>
    <t>Allstate Protection - Other personal lines - Effect of catastrophe losses, mm</t>
  </si>
  <si>
    <t>Allstate Protection - Other personal lines - Loss and LAE before prior year developments, mm</t>
  </si>
  <si>
    <t>Allstate Protection - Other personal lines - Effect of prior year reserve re-estimates, mm</t>
  </si>
  <si>
    <t>Allstate Protection - Other personal lines - Effect of catastrophe losses included in prior year reserve re-estimates, mm</t>
  </si>
  <si>
    <t>Allstate Protection - Commercial lines - Loss and LAE before catastrophe losses and prior year developments, mm</t>
  </si>
  <si>
    <t>Allstate Protection - Commercial lines - Effect of catastrophe losses, mm</t>
  </si>
  <si>
    <t>Allstate Protection - Commercial lines - Loss and LAE before prior year developments, mm</t>
  </si>
  <si>
    <t>Allstate Protection - Commercial lines - Effect of prior year reserve re-estimates, mm</t>
  </si>
  <si>
    <t>Allstate Protection - Commercial lines - Effect of catastrophe losses included in prior year reserve re-estimates, mm</t>
  </si>
  <si>
    <t>Q1-2022</t>
  </si>
  <si>
    <t>ArS</t>
  </si>
  <si>
    <t>Last Working Day In Period</t>
  </si>
  <si>
    <t>Stock Price EoP</t>
  </si>
  <si>
    <t>FX EoP</t>
  </si>
  <si>
    <t>ALL_US</t>
  </si>
  <si>
    <t>Q2-2022</t>
  </si>
  <si>
    <t>SL</t>
  </si>
  <si>
    <t>Share Count Analysis</t>
  </si>
  <si>
    <t>Q3-2022</t>
  </si>
  <si>
    <t>HN</t>
  </si>
  <si>
    <t>FY2022</t>
  </si>
  <si>
    <t>FV</t>
  </si>
  <si>
    <t>Key Metrics - Employees (FS)</t>
  </si>
  <si>
    <t>Total Employees, # of employees</t>
  </si>
  <si>
    <t>Full-Time Employees, # of employees</t>
  </si>
  <si>
    <t>Part-Time Employees, # of employees</t>
  </si>
  <si>
    <t>Proceeds from sale of property and equipment</t>
  </si>
  <si>
    <t>KPI Data</t>
  </si>
  <si>
    <t>MO_RIS_REV</t>
  </si>
  <si>
    <t>MO_RIS_NI_NONGAAP_Diluted</t>
  </si>
  <si>
    <t>MO_RIS_EPS_WAD_Adj</t>
  </si>
  <si>
    <t>MO_OS_EmployeeCount</t>
  </si>
  <si>
    <t>KPI Count</t>
  </si>
  <si>
    <t>Apply Trade Currency Scaling</t>
  </si>
  <si>
    <t>Total Property &amp; Liability Loss and LAE excl. CATS &amp; PYD, mm</t>
  </si>
  <si>
    <t>Q1-2023</t>
  </si>
  <si>
    <t>Unrestated</t>
  </si>
  <si>
    <t>Contract Benefits as % of Avg. Contractholder Funds (Annualized), %</t>
  </si>
  <si>
    <t>Q2-2023</t>
  </si>
  <si>
    <t>AS</t>
  </si>
  <si>
    <t>Non-recurring costs</t>
  </si>
  <si>
    <t>Q3-2023</t>
  </si>
  <si>
    <t>SHK</t>
  </si>
  <si>
    <t>Cash paid on interest</t>
  </si>
  <si>
    <t>Cash paid (refunded) on taxes</t>
  </si>
  <si>
    <t>Q/Q basic share expansion from dilutive securities, %</t>
  </si>
  <si>
    <t>Y/Y basic share expansion from dilutive securities, %</t>
  </si>
  <si>
    <t>Q/Q basic share expansion from share issuance (buyback), %</t>
  </si>
  <si>
    <t>Y/Y basic share expansion from share issuance (buyback), %</t>
  </si>
  <si>
    <t>Q/Q basic share expansion - EoP, %</t>
  </si>
  <si>
    <t>Y/Y basic share expansion - EoP, %</t>
  </si>
  <si>
    <t>Diluted share count to basic share count ratio, x</t>
  </si>
  <si>
    <t>EoP</t>
  </si>
  <si>
    <t>EoP Common Stock Outstanding, mm shares</t>
  </si>
  <si>
    <t>Cover Page Common Stock Outstanding, mm shares</t>
  </si>
  <si>
    <t>Date of Cover Page Share Count, date</t>
  </si>
  <si>
    <t>Dilutive Shares, mm shares</t>
  </si>
  <si>
    <t>EoP Total Diluted Common Stock Outstanding, mm shares</t>
  </si>
  <si>
    <t>EoP Restricted Share Awards, mm shares</t>
  </si>
  <si>
    <t>Quarterly Guidance Table</t>
  </si>
  <si>
    <t>Reporting Date</t>
  </si>
  <si>
    <t>Applicable Period</t>
  </si>
  <si>
    <t>Annual Guidance Table</t>
  </si>
  <si>
    <t>Is Latest</t>
  </si>
  <si>
    <t>MO_KPI_NWP</t>
  </si>
  <si>
    <t>MO_KPI_NEP</t>
  </si>
  <si>
    <t>MO_KPI_UI</t>
  </si>
  <si>
    <t>MO_KPI_LossRatio</t>
  </si>
  <si>
    <t>MO_KPI_CombinedRatio</t>
  </si>
  <si>
    <t>MO_KPI_InvestmentBalance</t>
  </si>
  <si>
    <t>MO_KPI_NetIIYield</t>
  </si>
  <si>
    <t>MO_BSS_NTR</t>
  </si>
  <si>
    <t>MO_KPI_Loss_exCATS</t>
  </si>
  <si>
    <t>MO_KPI_Loss</t>
  </si>
  <si>
    <t>MO_KPI_OOE</t>
  </si>
  <si>
    <t>MO_KPI_UnderwritingExpense</t>
  </si>
  <si>
    <t>MO_KPI_WPERatio</t>
  </si>
  <si>
    <t>MO_KPI_OOERatio</t>
  </si>
  <si>
    <t>MO_KPI_NUPR</t>
  </si>
  <si>
    <t>MO_KPI_GLR</t>
  </si>
  <si>
    <t>MO_KPI_RR</t>
  </si>
  <si>
    <t>MO_KPI_NLR</t>
  </si>
  <si>
    <t>MO_KPI_NetII</t>
  </si>
  <si>
    <t>MO_KPI_NetIG</t>
  </si>
  <si>
    <t>MO_BSS_ReserveRatio</t>
  </si>
  <si>
    <t>MO_BSS_SolvencyRatio</t>
  </si>
  <si>
    <t>MO_BSS_BVPS</t>
  </si>
  <si>
    <t>MO_BSS_TBVPS</t>
  </si>
  <si>
    <t>MO_BSS_ROA</t>
  </si>
  <si>
    <t>MO_BSS_ROE</t>
  </si>
  <si>
    <t>MO_BSS_ROTE</t>
  </si>
  <si>
    <t>MO_CR_TotalCapitalization</t>
  </si>
  <si>
    <t>MO_CR_Debt_ToCapitalRatio</t>
  </si>
  <si>
    <t>MO_DS_PayoutRatio</t>
  </si>
  <si>
    <t>FY2023</t>
  </si>
  <si>
    <t>EoP Common Stock Outstanding excl. restricted stock awards, mm shares</t>
  </si>
  <si>
    <t>AHA</t>
  </si>
  <si>
    <t>Q1-2024</t>
  </si>
  <si>
    <t>VK</t>
  </si>
  <si>
    <t>ATK</t>
  </si>
  <si>
    <t>Need to update your model? Do it in one click with the Updater tool:</t>
  </si>
  <si>
    <t>Tegus Excel Add-in</t>
  </si>
  <si>
    <t>Tegus</t>
  </si>
  <si>
    <t>Q2-2024</t>
  </si>
  <si>
    <t>RF</t>
  </si>
  <si>
    <t>Q3-2024</t>
  </si>
  <si>
    <t>KN</t>
  </si>
  <si>
    <t>Data (Historical)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</si>
</sst>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0.0_);_(* \(#,##0.0\);_(* &quot;-&quot;??_);_(@_)"/>
    <numFmt numFmtId="169" formatCode="_(&quot;$&quot;* #,##0_);_(&quot;$&quot;* \(#,##0\);_(&quot;$&quot;* &quot;-&quot;??_);_(@_)"/>
    <numFmt numFmtId="170" formatCode="_(* #,##0_);_(* \(#,##0\);_(* &quot;-&quot;??_);_(@_)"/>
    <numFmt numFmtId="171" formatCode="_(* 0.0%_);_(* \-0.0%_);_(* &quot;-&quot;??_);_(@_)"/>
    <numFmt numFmtId="172" formatCode="_(* #,##0.0_);_(* \(#,##0.0\);_(* &quot;-&quot;??_);@"/>
    <numFmt numFmtId="173" formatCode="_(&quot;$&quot;* 0.00_);_(&quot;$&quot;* \(0.00\);_(&quot;$&quot;* &quot;-&quot;??_);_(@_)"/>
    <numFmt numFmtId="174" formatCode="_(* 0.0\ \x_);\ _(* &quot;n/a&quot;_);_(* &quot;-&quot;??_);_(@_)"/>
    <numFmt numFmtId="175" formatCode=";;;"/>
    <numFmt numFmtId="176" formatCode="_(&quot;$&quot;* #,##0.000_);_(&quot;$&quot;* \(#,##0.000\);_(&quot;$&quot;* &quot;-&quot;??_);_(@_)"/>
    <numFmt numFmtId="177" formatCode="_(* #,##0.0_);_(* \(#,##0.0\);_(* &quot;-&quot;??_);_(&quot;Bloomberg &gt;&gt; &quot;@_)"/>
    <numFmt numFmtId="178" formatCode="_(* #,##0.0_);_(* \(#,##0.0\);_(* &quot;-&quot;??_);_(&quot;Capital IQ &gt;&gt; &quot;@_)"/>
    <numFmt numFmtId="179" formatCode="_(* #,##0.0_);_(* \(#,##0.0\);_(* &quot;-&quot;??_);_(&quot;FactSet &gt;&gt; &quot;@_)"/>
    <numFmt numFmtId="180" formatCode="_(* #,##0.0_);_(* \(#,##0.0\);_(* &quot;-&quot;??_);_(&quot;Ticker :   &quot;@_)"/>
    <numFmt numFmtId="181" formatCode="_(* 0.00%_);_(* \-0.00%_);_(* &quot;-&quot;??_);_(@_)"/>
    <numFmt numFmtId="182" formatCode="_(* #,##0.0_);_(* \(#,##0.0\);_(* &quot;-&quot;??_);_(&quot;Model Sheet Currency :   &quot;@_)"/>
    <numFmt numFmtId="183" formatCode="_(* #,##0.0_);_(* \(#,##0.0\);_(* &quot;-&quot;??_);_(&quot;Canalyst Security Identification #: &quot;@_)"/>
    <numFmt numFmtId="184" formatCode="_(* #,##0.0_);_(* \(#,##0.0\);_(* &quot;-&quot;??_);_(&quot;Model Version #: &quot;@_)"/>
    <numFmt numFmtId="185" formatCode="_(* #,##0.0_);_(* \(#,##0.0\);_(* &quot; - &quot;??_);_(&quot;Last Price (&quot;@&quot;) &quot;_)"/>
    <numFmt numFmtId="186" formatCode="_(* #,##0.0_);_(* \(#,##0.0\);_(* &quot;-&quot;??_);_(&quot;Real-Time Stock Price :   &quot;@_)"/>
    <numFmt numFmtId="187" formatCode="_(&quot;$&quot;* 0.00_);_(&quot;$&quot;* \(0.00\);_(&quot;$&quot;* &quot; - &quot;??_);_(@_)"/>
    <numFmt numFmtId="188" formatCode="_(* #,##0.000_);_(* \(#,##0.000\);_(* &quot;-&quot;??_);_(@_)"/>
    <numFmt numFmtId="189" formatCode="&quot;Most Recent Period:&quot;"/>
    <numFmt numFmtId="190" formatCode="#,##0.0_);\(#,##0.0\)"/>
    <numFmt numFmtId="191" formatCode="_(* 0.000%_);_(* \-0.000%_);_(* &quot;-&quot;??_);_(@_)"/>
    <numFmt numFmtId="192" formatCode="_(* #,##0.0_);_(* \(#,##0.0\);_(* &quot; -&quot;??_);_(&quot;Refinitiv &gt;&gt; &quot;@_)"/>
    <numFmt numFmtId="193" formatCode="yyyy\-mm\-dd"/>
    <numFmt numFmtId="194" formatCode="_(\$* 0.00_);_(\$* \(0.00\);_(\$* &quot; - &quot;??_);_(@_)"/>
    <numFmt numFmtId="195" formatCode="m\-d\-yy"/>
    <numFmt numFmtId="196" formatCode="_(\$* 0.00_);_(\$* \(0.00\);_(\$* &quot;-&quot;??_);_(@\ * \ &quot;Toggle  &gt;&gt;&gt;&quot;_)"/>
    <numFmt numFmtId="197" formatCode="_(* 0.00\ \x_);\ _(* &quot;n/a&quot;_);_(* &quot;-&quot;??_);_(@_)"/>
    <numFmt numFmtId="198" formatCode="m/d/yy"/>
    <numFmt numFmtId="199" formatCode="_(* #,##0.0_);_(* \(#,##0.0\);_(* &quot;-&quot;??_);_(&quot;Tegus Ticker &gt;&gt; &quot;@_)"/>
  </numFmts>
  <fonts count="55">
    <font>
      <sz val="11"/>
      <name val="Calibri"/>
      <family val="2"/>
    </font>
    <font>
      <sz val="10"/>
      <color theme="1"/>
      <name val="Arial"/>
      <family val="2"/>
    </font>
    <font>
      <sz val="11"/>
      <color theme="1"/>
      <name val="Calibri"/>
      <family val="2"/>
      <scheme val="minor"/>
    </font>
    <font>
      <b/>
      <sz val="11"/>
      <color theme="1"/>
      <name val="Calibri"/>
      <family val="2"/>
      <scheme val="minor"/>
    </font>
    <font>
      <u val="single"/>
      <sz val="11"/>
      <color theme="10"/>
      <name val="Calibri"/>
      <family val="2"/>
      <scheme val="minor"/>
    </font>
    <font>
      <i/>
      <sz val="11"/>
      <color theme="1"/>
      <name val="Calibri"/>
      <family val="2"/>
      <scheme val="minor"/>
    </font>
    <font>
      <b/>
      <sz val="11"/>
      <name val="Calibri"/>
      <family val="2"/>
      <scheme val="minor"/>
    </font>
    <font>
      <b/>
      <sz val="11"/>
      <name val="Calibri"/>
      <family val="2"/>
    </font>
    <font>
      <sz val="11"/>
      <name val="Calibri"/>
      <family val="2"/>
      <scheme val="minor"/>
    </font>
    <font>
      <sz val="11"/>
      <color rgb="FFFF0000"/>
      <name val="Calibri"/>
      <family val="2"/>
    </font>
    <font>
      <sz val="22"/>
      <color theme="1"/>
      <name val="Calibri"/>
      <family val="2"/>
      <scheme val="minor"/>
    </font>
    <font>
      <u val="single"/>
      <sz val="11"/>
      <color theme="10"/>
      <name val="Calibri"/>
      <family val="2"/>
    </font>
    <font>
      <sz val="14"/>
      <color theme="1"/>
      <name val="Calibri"/>
      <family val="2"/>
      <scheme val="minor"/>
    </font>
    <font>
      <b/>
      <sz val="11"/>
      <color rgb="FFFF0000"/>
      <name val="Calibri"/>
      <family val="2"/>
    </font>
    <font>
      <sz val="11"/>
      <color rgb="FF006100"/>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z val="14"/>
      <name val="Calibri"/>
      <family val="2"/>
      <scheme val="minor"/>
    </font>
    <font>
      <i/>
      <sz val="11"/>
      <name val="Calibri"/>
      <family val="2"/>
    </font>
    <font>
      <i/>
      <sz val="11"/>
      <name val="Calibri"/>
      <family val="2"/>
      <scheme val="minor"/>
    </font>
    <font>
      <sz val="11"/>
      <color rgb="FF000000"/>
      <name val="Calibri"/>
      <family val="2"/>
      <scheme val="minor"/>
    </font>
    <font>
      <i/>
      <sz val="11"/>
      <color rgb="FFFF0000"/>
      <name val="Calibri"/>
      <family val="2"/>
    </font>
    <font>
      <b/>
      <sz val="11"/>
      <color rgb="FFFFFFFF"/>
      <name val="Calibri"/>
      <family val="2"/>
    </font>
    <font>
      <i/>
      <sz val="11"/>
      <color rgb="FF000000"/>
      <name val="Calibri"/>
      <family val="2"/>
    </font>
    <font>
      <u val="single"/>
      <sz val="22"/>
      <color theme="10"/>
      <name val="Calibri"/>
      <family val="2"/>
      <scheme val="minor"/>
    </font>
    <font>
      <sz val="11"/>
      <color rgb="FF000000"/>
      <name val="Calibri"/>
      <family val="2"/>
    </font>
    <font>
      <b/>
      <sz val="11"/>
      <color rgb="FF000000"/>
      <name val="Calibri"/>
      <family val="2"/>
    </font>
    <font>
      <b/>
      <sz val="11"/>
      <color theme="1"/>
      <name val="Calibri"/>
      <family val="2"/>
    </font>
    <font>
      <sz val="11"/>
      <color theme="1"/>
      <name val="Calibri"/>
      <family val="2"/>
    </font>
    <font>
      <i/>
      <sz val="11"/>
      <color rgb="FF000000"/>
      <name val="Calibri"/>
      <family val="2"/>
      <scheme val="minor"/>
    </font>
    <font>
      <sz val="10"/>
      <color theme="0"/>
      <name val="Calibri"/>
      <family val="2"/>
      <scheme val="minor"/>
    </font>
    <font>
      <b/>
      <sz val="11"/>
      <color rgb="FF000000"/>
      <name val="Calibri"/>
      <family val="2"/>
      <scheme val="minor"/>
    </font>
    <font>
      <b/>
      <sz val="11"/>
      <color rgb="FFFFFFFF"/>
      <name val="Calibri"/>
      <family val="2"/>
      <scheme val="minor"/>
    </font>
    <font>
      <sz val="11"/>
      <color rgb="FFFFFFFF"/>
      <name val="Calibri"/>
      <family val="2"/>
    </font>
    <font>
      <b/>
      <i/>
      <sz val="11"/>
      <color rgb="FF000000"/>
      <name val="Calibri"/>
      <family val="2"/>
    </font>
    <font>
      <b/>
      <i/>
      <sz val="11"/>
      <color rgb="FF000000"/>
      <name val="Calibri"/>
      <family val="2"/>
      <scheme val="minor"/>
    </font>
    <font>
      <u val="single"/>
      <sz val="22"/>
      <color rgb="FF000000"/>
      <name val="Calibri"/>
      <family val="2"/>
      <scheme val="minor"/>
    </font>
    <font>
      <u val="single"/>
      <sz val="14"/>
      <color rgb="FF0000FF"/>
      <name val="Calibri"/>
      <family val="2"/>
      <scheme val="minor"/>
    </font>
    <font>
      <b/>
      <sz val="9"/>
      <name val="Tahoma"/>
      <family val="2"/>
    </font>
    <font>
      <sz val="9"/>
      <name val="Tahoma"/>
      <family val="2"/>
    </font>
    <font>
      <sz val="9"/>
      <name val="Arial"/>
      <family val="2"/>
    </font>
    <font>
      <sz val="10"/>
      <name val="Arial"/>
      <family val="2"/>
    </font>
    <font>
      <sz val="12"/>
      <name val="Arial"/>
      <family val="2"/>
    </font>
    <font>
      <sz val="9"/>
      <color rgb="FF000000"/>
      <name val="Arial"/>
      <family val="2"/>
    </font>
    <font>
      <sz val="7"/>
      <color rgb="FF000000"/>
      <name val="Calibri"/>
      <family val="2"/>
      <scheme val="minor"/>
    </font>
    <font>
      <b/>
      <sz val="7"/>
      <color rgb="FF000000"/>
      <name val="Calibri"/>
      <family val="2"/>
      <scheme val="minor"/>
    </font>
    <font>
      <b/>
      <sz val="14"/>
      <color rgb="FFD04B35"/>
      <name val="Calibri"/>
      <family val="2"/>
      <scheme val="minor"/>
    </font>
    <font>
      <b/>
      <i/>
      <sz val="11"/>
      <color rgb="FFFFFFFF"/>
      <name val="Calibri"/>
      <family val="2"/>
    </font>
    <font>
      <u val="single"/>
      <sz val="14"/>
      <color theme="10"/>
      <name val="Calibri"/>
      <family val="2"/>
      <scheme val="minor"/>
    </font>
    <font>
      <b/>
      <sz val="11"/>
      <color rgb="FF0000FC"/>
      <name val="Calibri"/>
      <family val="2"/>
    </font>
    <font>
      <i/>
      <sz val="11"/>
      <color rgb="FF0000FC"/>
      <name val="Calibri"/>
      <family val="2"/>
    </font>
    <font>
      <sz val="11"/>
      <color rgb="FF0000FC"/>
      <name val="Calibri"/>
      <family val="2"/>
    </font>
    <font>
      <sz val="11"/>
      <color rgb="FF0000FC"/>
      <name val="Calibri"/>
      <family val="2"/>
      <scheme val="minor"/>
    </font>
    <font>
      <sz val="9"/>
      <color rgb="FF0000FC"/>
      <name val="Arial"/>
      <family val="2"/>
    </font>
  </fonts>
  <fills count="9">
    <fill>
      <patternFill patternType="none"/>
    </fill>
    <fill>
      <patternFill patternType="gray125"/>
    </fill>
    <fill>
      <patternFill patternType="solid">
        <fgColor rgb="FFC6EFCE"/>
        <bgColor indexed="64"/>
      </patternFill>
    </fill>
    <fill>
      <patternFill patternType="solid">
        <fgColor rgb="FFFFFFFF"/>
        <bgColor indexed="64"/>
      </patternFill>
    </fill>
    <fill>
      <patternFill patternType="solid">
        <fgColor rgb="FF89E0FF"/>
        <bgColor indexed="64"/>
      </patternFill>
    </fill>
    <fill>
      <patternFill patternType="solid">
        <fgColor rgb="FF000000"/>
        <bgColor indexed="64"/>
      </patternFill>
    </fill>
    <fill>
      <patternFill patternType="solid">
        <fgColor rgb="FFD0F9F2"/>
        <bgColor indexed="64"/>
      </patternFill>
    </fill>
    <fill>
      <patternFill patternType="solid">
        <fgColor rgb="FFECEDF0"/>
        <bgColor indexed="64"/>
      </patternFill>
    </fill>
    <fill>
      <patternFill patternType="solid">
        <fgColor rgb="FFF2F2F2"/>
        <bgColor indexed="64"/>
      </patternFill>
    </fill>
  </fills>
  <borders count="37">
    <border>
      <left/>
      <right/>
      <top/>
      <bottom/>
      <diagonal/>
    </border>
    <border>
      <left/>
      <right style="thin">
        <color auto="1"/>
      </right>
      <top/>
      <bottom style="thin">
        <color auto="1"/>
      </bottom>
    </border>
    <border>
      <left/>
      <right/>
      <top/>
      <bottom style="thin">
        <color auto="1"/>
      </bottom>
    </border>
    <border>
      <left style="thin">
        <color auto="1"/>
      </left>
      <right/>
      <top/>
      <bottom style="thin">
        <color auto="1"/>
      </bottom>
    </border>
    <border>
      <left/>
      <right style="thin">
        <color auto="1"/>
      </right>
      <top/>
      <bottom/>
    </border>
    <border>
      <left style="thin">
        <color auto="1"/>
      </left>
      <right/>
      <top/>
      <bottom/>
    </border>
    <border>
      <left/>
      <right style="thin">
        <color auto="1"/>
      </right>
      <top style="thin">
        <color auto="1"/>
      </top>
      <bottom/>
    </border>
    <border>
      <left/>
      <right/>
      <top style="thin">
        <color auto="1"/>
      </top>
      <bottom/>
    </border>
    <border>
      <left style="thin">
        <color auto="1"/>
      </left>
      <right/>
      <top style="thin">
        <color auto="1"/>
      </top>
      <bottom/>
    </border>
    <border>
      <left style="thin">
        <color auto="1"/>
      </left>
      <right/>
      <top style="thin">
        <color auto="1"/>
      </top>
      <bottom style="thin">
        <color auto="1"/>
      </bottom>
    </border>
    <border>
      <left/>
      <right/>
      <top style="thin">
        <color auto="1"/>
      </top>
      <bottom style="thin">
        <color auto="1"/>
      </bottom>
    </border>
    <border>
      <left/>
      <right style="thin">
        <color rgb="FF000000"/>
      </right>
      <top/>
      <bottom/>
    </border>
    <border>
      <left style="thin">
        <color rgb="FF000000"/>
      </left>
      <right/>
      <top/>
      <bottom/>
    </border>
    <border>
      <left/>
      <right/>
      <top style="thin">
        <color rgb="FF000000"/>
      </top>
      <bottom/>
    </border>
    <border>
      <left/>
      <right/>
      <top/>
      <bottom style="thin">
        <color rgb="FF000000"/>
      </bottom>
    </border>
    <border>
      <left/>
      <right style="thin">
        <color rgb="FF000000"/>
      </right>
      <top style="thin">
        <color rgb="FF000000"/>
      </top>
      <bottom/>
    </border>
    <border>
      <left style="thin">
        <color rgb="FF000000"/>
      </left>
      <right/>
      <top style="thin">
        <color rgb="FF000000"/>
      </top>
      <bottom/>
    </border>
    <border>
      <left/>
      <right/>
      <top style="thin">
        <color rgb="FF000000"/>
      </top>
      <bottom style="thin">
        <color rgb="FF000000"/>
      </bottom>
    </border>
    <border>
      <left style="thin">
        <color auto="1"/>
      </left>
      <right style="thin">
        <color auto="1"/>
      </right>
      <top style="thin">
        <color auto="1"/>
      </top>
      <bottom/>
    </border>
    <border>
      <left style="thin">
        <color auto="1"/>
      </left>
      <right style="thin">
        <color auto="1"/>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auto="1"/>
      </left>
      <right style="thin">
        <color auto="1"/>
      </right>
      <top/>
      <bottom style="thin">
        <color auto="1"/>
      </bottom>
    </border>
    <border>
      <left/>
      <right style="thick">
        <color auto="1"/>
      </right>
      <top/>
      <bottom/>
    </border>
    <border>
      <left/>
      <right style="thick">
        <color auto="1"/>
      </right>
      <top/>
      <bottom style="thin">
        <color auto="1"/>
      </bottom>
    </border>
    <border>
      <left/>
      <right style="thick">
        <color auto="1"/>
      </right>
      <top style="thin">
        <color rgb="FF000000"/>
      </top>
      <bottom style="thin">
        <color rgb="FF000000"/>
      </bottom>
    </border>
    <border>
      <left/>
      <right style="thick">
        <color auto="1"/>
      </right>
      <top style="thin">
        <color rgb="FF000000"/>
      </top>
      <bottom/>
    </border>
    <border>
      <left/>
      <right style="thick">
        <color auto="1"/>
      </right>
      <top/>
      <bottom style="thin">
        <color rgb="FF000000"/>
      </bottom>
    </border>
    <border>
      <left style="thin">
        <color rgb="FF000000"/>
      </left>
      <right/>
      <top/>
      <bottom style="thin">
        <color auto="1"/>
      </bottom>
    </border>
    <border>
      <left/>
      <right style="thin">
        <color rgb="FF000000"/>
      </right>
      <top/>
      <bottom style="thin">
        <color auto="1"/>
      </bottom>
    </border>
    <border>
      <left/>
      <right style="thick">
        <color auto="1"/>
      </right>
      <top style="thin">
        <color auto="1"/>
      </top>
      <bottom/>
    </border>
    <border>
      <left style="thin">
        <color auto="1"/>
      </left>
      <right style="thin">
        <color auto="1"/>
      </right>
      <top style="thin">
        <color auto="1"/>
      </top>
      <bottom style="thin">
        <color auto="1"/>
      </bottom>
    </border>
    <border>
      <left style="thin">
        <color rgb="FF000000"/>
      </left>
      <right style="thin">
        <color auto="1"/>
      </right>
      <top/>
      <bottom style="thin">
        <color rgb="FF000000"/>
      </bottom>
    </border>
    <border>
      <left style="thin">
        <color auto="1"/>
      </left>
      <right style="thin">
        <color auto="1"/>
      </right>
      <top/>
      <bottom style="thin">
        <color rgb="FF000000"/>
      </bottom>
    </border>
    <border>
      <left/>
      <right style="thin">
        <color rgb="FF000000"/>
      </right>
      <top/>
      <bottom style="thin">
        <color rgb="FF000000"/>
      </bottom>
    </border>
    <border>
      <left style="thin">
        <color auto="1"/>
      </left>
      <right style="thin">
        <color rgb="FF000000"/>
      </right>
      <top/>
      <bottom style="thin">
        <color rgb="FF000000"/>
      </bottom>
    </border>
    <border>
      <left/>
      <right style="thick">
        <color auto="1"/>
      </right>
      <top style="thin">
        <color auto="1"/>
      </top>
      <bottom style="thin">
        <color auto="1"/>
      </bottom>
    </border>
  </borders>
  <cellStyleXfs count="3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166" fontId="0" fillId="0" borderId="0">
      <alignment/>
      <protection/>
    </xf>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6" fontId="2" fillId="0" borderId="0">
      <alignment/>
      <protection/>
    </xf>
    <xf numFmtId="166" fontId="0" fillId="0" borderId="0">
      <alignment/>
      <protection/>
    </xf>
    <xf numFmtId="0" fontId="14" fillId="2" borderId="0">
      <alignment/>
      <protection/>
    </xf>
    <xf numFmtId="0" fontId="4" fillId="0" borderId="0">
      <alignment/>
      <protection/>
    </xf>
    <xf numFmtId="0" fontId="11" fillId="0" borderId="0">
      <alignment vertical="top"/>
      <protection locked="0"/>
    </xf>
    <xf numFmtId="0" fontId="2" fillId="0" borderId="0">
      <alignment/>
      <protection/>
    </xf>
    <xf numFmtId="0" fontId="2" fillId="0" borderId="0">
      <alignment/>
      <protection/>
    </xf>
    <xf numFmtId="0" fontId="0" fillId="0" borderId="0">
      <alignment/>
      <protection/>
    </xf>
    <xf numFmtId="9" fontId="2" fillId="0" borderId="0">
      <alignment/>
      <protection/>
    </xf>
    <xf numFmtId="0" fontId="42" fillId="0" borderId="0">
      <alignment/>
      <protection/>
    </xf>
    <xf numFmtId="190" fontId="43" fillId="0" borderId="0">
      <alignment/>
      <protection/>
    </xf>
    <xf numFmtId="0" fontId="42" fillId="0" borderId="0">
      <alignment/>
      <protection/>
    </xf>
    <xf numFmtId="167" fontId="26" fillId="0" borderId="0" applyFont="0" applyFill="0" applyBorder="0" applyAlignment="0" applyProtection="0"/>
  </cellStyleXfs>
  <cellXfs count="1114">
    <xf numFmtId="0" fontId="0" fillId="0" borderId="0" xfId="0" applyNumberFormat="1" applyFont="1" applyFill="1" applyBorder="1"/>
    <xf numFmtId="0" fontId="15" fillId="3" borderId="0" xfId="26" applyNumberFormat="1" applyFont="1" applyFill="1" applyBorder="1">
      <alignment/>
      <protection/>
    </xf>
    <xf numFmtId="0" fontId="2" fillId="0" borderId="0" xfId="26" applyNumberFormat="1" applyFont="1" applyFill="1" applyBorder="1">
      <alignment/>
      <protection/>
    </xf>
    <xf numFmtId="0" fontId="2" fillId="3" borderId="0" xfId="26" applyNumberFormat="1" applyFont="1" applyFill="1" applyBorder="1">
      <alignment/>
      <protection/>
    </xf>
    <xf numFmtId="0" fontId="2" fillId="3" borderId="0" xfId="26" applyNumberFormat="1" applyFont="1" applyFill="1" applyBorder="1" applyAlignment="1" quotePrefix="1">
      <alignment horizontal="left" vertical="top" wrapText="1"/>
      <protection/>
    </xf>
    <xf numFmtId="0" fontId="2" fillId="3" borderId="1" xfId="26" applyNumberFormat="1" applyFont="1" applyFill="1" applyBorder="1" applyAlignment="1">
      <alignment vertical="top" wrapText="1"/>
      <protection/>
    </xf>
    <xf numFmtId="0" fontId="2" fillId="3" borderId="2" xfId="26" applyNumberFormat="1" applyFont="1" applyFill="1" applyBorder="1" applyAlignment="1">
      <alignment vertical="top" wrapText="1"/>
      <protection/>
    </xf>
    <xf numFmtId="0" fontId="2" fillId="3" borderId="3" xfId="26" applyNumberFormat="1" applyFont="1" applyFill="1" applyBorder="1" applyAlignment="1">
      <alignment vertical="top" wrapText="1"/>
      <protection/>
    </xf>
    <xf numFmtId="0" fontId="2" fillId="3" borderId="4" xfId="26" applyNumberFormat="1" applyFont="1" applyFill="1" applyBorder="1" applyAlignment="1">
      <alignment vertical="top" wrapText="1"/>
      <protection/>
    </xf>
    <xf numFmtId="0" fontId="2" fillId="3" borderId="0" xfId="26" applyNumberFormat="1" applyFont="1" applyFill="1" applyBorder="1" applyAlignment="1">
      <alignment vertical="top" wrapText="1"/>
      <protection/>
    </xf>
    <xf numFmtId="0" fontId="2" fillId="3" borderId="5" xfId="26" applyNumberFormat="1" applyFont="1" applyFill="1" applyBorder="1" applyAlignment="1">
      <alignment vertical="top" wrapText="1"/>
      <protection/>
    </xf>
    <xf numFmtId="0" fontId="2" fillId="3" borderId="6" xfId="26" applyNumberFormat="1" applyFont="1" applyFill="1" applyBorder="1" applyAlignment="1">
      <alignment vertical="top" wrapText="1"/>
      <protection/>
    </xf>
    <xf numFmtId="0" fontId="2" fillId="3" borderId="7" xfId="26" applyNumberFormat="1" applyFont="1" applyFill="1" applyBorder="1" applyAlignment="1">
      <alignment vertical="top" wrapText="1"/>
      <protection/>
    </xf>
    <xf numFmtId="0" fontId="45" fillId="3" borderId="8" xfId="26" applyNumberFormat="1" applyFont="1" applyFill="1" applyBorder="1" applyAlignment="1">
      <alignment vertical="top" wrapText="1"/>
      <protection/>
    </xf>
    <xf numFmtId="0" fontId="10" fillId="3" borderId="0" xfId="26" applyNumberFormat="1" applyFont="1" applyFill="1" applyBorder="1" applyAlignment="1">
      <alignment horizontal="center"/>
      <protection/>
    </xf>
    <xf numFmtId="0" fontId="2" fillId="0" borderId="0" xfId="26" applyNumberFormat="1" applyFont="1" applyFill="1" applyBorder="1">
      <alignment/>
      <protection/>
    </xf>
    <xf numFmtId="171" fontId="7" fillId="4" borderId="0" xfId="0" applyNumberFormat="1" applyFont="1" applyFill="1" applyBorder="1" applyAlignment="1">
      <alignment horizontal="right"/>
    </xf>
    <xf numFmtId="168" fontId="7" fillId="0" borderId="0" xfId="0" applyNumberFormat="1" applyFont="1" applyFill="1" applyBorder="1"/>
    <xf numFmtId="0" fontId="2" fillId="0" borderId="0" xfId="26" applyNumberFormat="1" applyFont="1" applyFill="1" applyBorder="1">
      <alignment/>
      <protection/>
    </xf>
    <xf numFmtId="0" fontId="2" fillId="0" borderId="0" xfId="26" applyNumberFormat="1" applyFont="1" applyFill="1" applyBorder="1">
      <alignment/>
      <protection/>
    </xf>
    <xf numFmtId="174" fontId="0" fillId="4" borderId="0" xfId="0" applyNumberFormat="1" applyFont="1" applyFill="1" applyBorder="1" applyAlignment="1">
      <alignment horizontal="right"/>
    </xf>
    <xf numFmtId="171" fontId="0" fillId="4" borderId="0" xfId="0" applyNumberFormat="1" applyFont="1" applyFill="1" applyBorder="1"/>
    <xf numFmtId="168" fontId="0" fillId="0" borderId="0" xfId="0" applyNumberFormat="1" applyFont="1" applyFill="1" applyBorder="1"/>
    <xf numFmtId="168" fontId="7" fillId="0" borderId="0" xfId="0" applyNumberFormat="1" applyFont="1" applyFill="1" applyBorder="1" applyAlignment="1">
      <alignment horizontal="center"/>
    </xf>
    <xf numFmtId="171" fontId="0" fillId="0" borderId="0" xfId="0" applyNumberFormat="1" applyFont="1" applyFill="1" applyBorder="1"/>
    <xf numFmtId="171" fontId="7" fillId="0" borderId="0" xfId="0" applyNumberFormat="1" applyFont="1" applyFill="1" applyBorder="1"/>
    <xf numFmtId="168" fontId="19" fillId="0" borderId="0" xfId="0" applyNumberFormat="1" applyFont="1" applyFill="1" applyBorder="1"/>
    <xf numFmtId="173" fontId="7" fillId="0" borderId="0" xfId="0" applyNumberFormat="1" applyFont="1" applyFill="1" applyBorder="1"/>
    <xf numFmtId="174" fontId="0" fillId="0" borderId="0" xfId="0" applyNumberFormat="1" applyFont="1" applyFill="1" applyBorder="1"/>
    <xf numFmtId="171" fontId="19" fillId="0" borderId="0" xfId="0" applyNumberFormat="1" applyFont="1" applyFill="1" applyBorder="1"/>
    <xf numFmtId="166" fontId="7" fillId="0" borderId="0" xfId="0" applyNumberFormat="1" applyFont="1" applyFill="1" applyBorder="1"/>
    <xf numFmtId="181" fontId="7" fillId="4" borderId="0" xfId="0" applyNumberFormat="1" applyFont="1" applyFill="1" applyBorder="1"/>
    <xf numFmtId="181" fontId="7" fillId="0" borderId="0" xfId="0" applyNumberFormat="1" applyFont="1" applyFill="1" applyBorder="1"/>
    <xf numFmtId="171" fontId="19" fillId="4" borderId="0" xfId="16" applyNumberFormat="1" applyFont="1" applyFill="1" applyBorder="1" applyAlignment="1">
      <alignment horizontal="right" indent="1"/>
      <protection/>
    </xf>
    <xf numFmtId="171" fontId="19" fillId="4" borderId="0" xfId="16" applyNumberFormat="1" applyFont="1" applyFill="1" applyBorder="1">
      <alignment/>
      <protection/>
    </xf>
    <xf numFmtId="176" fontId="7" fillId="0" borderId="0" xfId="0" applyNumberFormat="1" applyFont="1" applyFill="1" applyBorder="1"/>
    <xf numFmtId="176" fontId="13" fillId="4" borderId="0" xfId="16" applyNumberFormat="1" applyFont="1" applyFill="1" applyBorder="1">
      <alignment/>
      <protection/>
    </xf>
    <xf numFmtId="172" fontId="25" fillId="3" borderId="0" xfId="23" applyNumberFormat="1" applyFont="1" applyFill="1" applyBorder="1" applyAlignment="1">
      <alignment horizontal="left"/>
      <protection/>
    </xf>
    <xf numFmtId="1" fontId="7" fillId="3" borderId="0" xfId="0" applyNumberFormat="1" applyFont="1" applyFill="1" applyBorder="1" applyAlignment="1">
      <alignment horizontal="center"/>
    </xf>
    <xf numFmtId="0" fontId="0" fillId="0" borderId="0" xfId="0" applyNumberFormat="1" applyFont="1" applyFill="1" applyBorder="1"/>
    <xf numFmtId="0" fontId="7" fillId="0" borderId="0" xfId="0" applyNumberFormat="1" applyFont="1" applyFill="1" applyBorder="1"/>
    <xf numFmtId="181" fontId="7" fillId="3" borderId="0" xfId="0" applyNumberFormat="1" applyFont="1" applyFill="1" applyBorder="1" applyAlignment="1">
      <alignment horizontal="left"/>
    </xf>
    <xf numFmtId="171" fontId="19" fillId="3" borderId="0" xfId="0" applyNumberFormat="1" applyFont="1" applyFill="1" applyBorder="1" applyAlignment="1">
      <alignment horizontal="left" indent="1"/>
    </xf>
    <xf numFmtId="171" fontId="7" fillId="3" borderId="0" xfId="0" applyNumberFormat="1" applyFont="1" applyFill="1" applyBorder="1" applyAlignment="1">
      <alignment horizontal="left"/>
    </xf>
    <xf numFmtId="171" fontId="7" fillId="3" borderId="0" xfId="0" applyNumberFormat="1" applyFont="1" applyFill="1" applyBorder="1" applyAlignment="1">
      <alignment horizontal="right"/>
    </xf>
    <xf numFmtId="171" fontId="0" fillId="3" borderId="0" xfId="0" applyNumberFormat="1" applyFont="1" applyFill="1" applyBorder="1" applyAlignment="1">
      <alignment horizontal="left" indent="1"/>
    </xf>
    <xf numFmtId="168" fontId="7" fillId="3" borderId="0" xfId="0" applyNumberFormat="1" applyFont="1" applyFill="1" applyBorder="1" applyAlignment="1">
      <alignment horizontal="left"/>
    </xf>
    <xf numFmtId="171" fontId="0" fillId="3" borderId="0" xfId="0" applyNumberFormat="1" applyFont="1" applyFill="1" applyBorder="1"/>
    <xf numFmtId="168" fontId="19" fillId="3" borderId="0" xfId="0" applyNumberFormat="1" applyFont="1" applyFill="1" applyBorder="1"/>
    <xf numFmtId="171" fontId="5" fillId="3" borderId="0" xfId="0" applyNumberFormat="1" applyFont="1" applyFill="1" applyBorder="1" applyAlignment="1">
      <alignment horizontal="left"/>
    </xf>
    <xf numFmtId="174" fontId="0" fillId="3" borderId="0" xfId="0" applyNumberFormat="1" applyFont="1" applyFill="1" applyBorder="1"/>
    <xf numFmtId="170" fontId="7" fillId="0" borderId="0" xfId="0" applyNumberFormat="1" applyFont="1" applyFill="1" applyBorder="1"/>
    <xf numFmtId="0" fontId="3" fillId="3" borderId="0" xfId="0" applyNumberFormat="1" applyFont="1" applyFill="1" applyBorder="1" applyAlignment="1">
      <alignment horizontal="center"/>
    </xf>
    <xf numFmtId="171" fontId="19" fillId="3" borderId="0" xfId="16" applyNumberFormat="1" applyFont="1" applyFill="1" applyBorder="1">
      <alignment/>
      <protection/>
    </xf>
    <xf numFmtId="181" fontId="7" fillId="3" borderId="0" xfId="0" applyNumberFormat="1" applyFont="1" applyFill="1" applyBorder="1"/>
    <xf numFmtId="0" fontId="6" fillId="3" borderId="0" xfId="0" applyNumberFormat="1" applyFont="1" applyFill="1" applyBorder="1" applyAlignment="1">
      <alignment horizontal="center"/>
    </xf>
    <xf numFmtId="171" fontId="23" fillId="5" borderId="0" xfId="0" applyNumberFormat="1" applyFont="1" applyFill="1" applyBorder="1"/>
    <xf numFmtId="170" fontId="7" fillId="3" borderId="0" xfId="0" applyNumberFormat="1" applyFont="1" applyFill="1" applyBorder="1"/>
    <xf numFmtId="170" fontId="0" fillId="3" borderId="2" xfId="0" applyNumberFormat="1" applyFont="1" applyFill="1" applyBorder="1"/>
    <xf numFmtId="0" fontId="15" fillId="0" borderId="0" xfId="26" applyNumberFormat="1" applyFont="1" applyFill="1" applyBorder="1">
      <alignment/>
      <protection/>
    </xf>
    <xf numFmtId="171" fontId="0" fillId="4" borderId="2" xfId="0" applyNumberFormat="1" applyFont="1" applyFill="1" applyBorder="1" applyAlignment="1">
      <alignment horizontal="right"/>
    </xf>
    <xf numFmtId="171" fontId="0" fillId="3" borderId="2" xfId="0" applyNumberFormat="1" applyFont="1" applyFill="1" applyBorder="1" applyAlignment="1">
      <alignment horizontal="right"/>
    </xf>
    <xf numFmtId="171" fontId="9" fillId="3" borderId="2" xfId="0" applyNumberFormat="1" applyFont="1" applyFill="1" applyBorder="1" applyAlignment="1">
      <alignment horizontal="right"/>
    </xf>
    <xf numFmtId="171" fontId="0" fillId="3" borderId="2" xfId="0" applyNumberFormat="1" applyFont="1" applyFill="1" applyBorder="1" applyAlignment="1">
      <alignment horizontal="left" indent="1"/>
    </xf>
    <xf numFmtId="171" fontId="9" fillId="4" borderId="2" xfId="0" applyNumberFormat="1" applyFont="1" applyFill="1" applyBorder="1" applyAlignment="1">
      <alignment horizontal="right"/>
    </xf>
    <xf numFmtId="0" fontId="0" fillId="0" borderId="0" xfId="27" applyNumberFormat="1" applyFont="1" applyFill="1" applyBorder="1">
      <alignment/>
      <protection/>
    </xf>
    <xf numFmtId="168" fontId="0" fillId="0" borderId="0" xfId="27" applyNumberFormat="1" applyFont="1" applyFill="1" applyBorder="1">
      <alignment/>
      <protection/>
    </xf>
    <xf numFmtId="168" fontId="7" fillId="0" borderId="0" xfId="27" applyNumberFormat="1" applyFont="1" applyFill="1" applyBorder="1">
      <alignment/>
      <protection/>
    </xf>
    <xf numFmtId="174" fontId="0" fillId="0" borderId="0" xfId="27" applyNumberFormat="1" applyFont="1" applyFill="1" applyBorder="1">
      <alignment/>
      <protection/>
    </xf>
    <xf numFmtId="171" fontId="0" fillId="0" borderId="0" xfId="27" applyNumberFormat="1" applyFont="1" applyFill="1" applyBorder="1">
      <alignment/>
      <protection/>
    </xf>
    <xf numFmtId="170" fontId="7" fillId="0" borderId="0" xfId="27" applyNumberFormat="1" applyFont="1" applyFill="1" applyBorder="1">
      <alignment/>
      <protection/>
    </xf>
    <xf numFmtId="166" fontId="7" fillId="0" borderId="0" xfId="27" applyNumberFormat="1" applyFont="1" applyFill="1" applyBorder="1">
      <alignment/>
      <protection/>
    </xf>
    <xf numFmtId="171" fontId="7" fillId="0" borderId="0" xfId="27" applyNumberFormat="1" applyFont="1" applyFill="1" applyBorder="1">
      <alignment/>
      <protection/>
    </xf>
    <xf numFmtId="173" fontId="3" fillId="3" borderId="0" xfId="16" applyNumberFormat="1" applyFont="1" applyFill="1" applyBorder="1" applyAlignment="1">
      <alignment horizontal="left"/>
      <protection/>
    </xf>
    <xf numFmtId="166" fontId="3" fillId="3" borderId="0" xfId="16" applyNumberFormat="1" applyFont="1" applyFill="1" applyBorder="1" applyAlignment="1">
      <alignment horizontal="left"/>
      <protection/>
    </xf>
    <xf numFmtId="168" fontId="28" fillId="0" borderId="0" xfId="0" applyNumberFormat="1" applyFont="1" applyFill="1" applyBorder="1"/>
    <xf numFmtId="181" fontId="0" fillId="0" borderId="0" xfId="27" applyNumberFormat="1" applyFont="1" applyFill="1" applyBorder="1">
      <alignment/>
      <protection/>
    </xf>
    <xf numFmtId="171" fontId="9" fillId="4" borderId="0" xfId="0" applyNumberFormat="1" applyFont="1" applyFill="1" applyBorder="1"/>
    <xf numFmtId="171" fontId="20" fillId="3" borderId="0" xfId="16" applyNumberFormat="1" applyFont="1" applyFill="1" applyBorder="1">
      <alignment/>
      <protection/>
    </xf>
    <xf numFmtId="171" fontId="30" fillId="3" borderId="0" xfId="16" applyNumberFormat="1" applyFont="1" applyFill="1" applyBorder="1">
      <alignment/>
      <protection/>
    </xf>
    <xf numFmtId="171" fontId="24" fillId="4" borderId="0" xfId="0" applyNumberFormat="1" applyFont="1" applyFill="1" applyBorder="1" applyAlignment="1">
      <alignment horizontal="right"/>
    </xf>
    <xf numFmtId="182" fontId="3" fillId="3" borderId="0" xfId="0" applyNumberFormat="1" applyFont="1" applyFill="1" applyBorder="1"/>
    <xf numFmtId="170" fontId="29" fillId="3" borderId="0" xfId="0" applyNumberFormat="1" applyFont="1" applyFill="1" applyBorder="1" applyAlignment="1">
      <alignment horizontal="left" indent="1"/>
    </xf>
    <xf numFmtId="170" fontId="29" fillId="4" borderId="0" xfId="0" applyNumberFormat="1" applyFont="1" applyFill="1" applyBorder="1"/>
    <xf numFmtId="170" fontId="29" fillId="3" borderId="0" xfId="0" applyNumberFormat="1" applyFont="1" applyFill="1" applyBorder="1"/>
    <xf numFmtId="170" fontId="29" fillId="0" borderId="0" xfId="0" applyNumberFormat="1" applyFont="1" applyFill="1" applyBorder="1"/>
    <xf numFmtId="170" fontId="0" fillId="4" borderId="0" xfId="0" applyNumberFormat="1" applyFont="1" applyFill="1" applyBorder="1"/>
    <xf numFmtId="170" fontId="7" fillId="3" borderId="7" xfId="0" applyNumberFormat="1" applyFont="1" applyFill="1" applyBorder="1" applyAlignment="1">
      <alignment horizontal="left"/>
    </xf>
    <xf numFmtId="170" fontId="7" fillId="4" borderId="7" xfId="0" applyNumberFormat="1" applyFont="1" applyFill="1" applyBorder="1"/>
    <xf numFmtId="170" fontId="7" fillId="3" borderId="7" xfId="0" applyNumberFormat="1" applyFont="1" applyFill="1" applyBorder="1"/>
    <xf numFmtId="170" fontId="27" fillId="3" borderId="7" xfId="0" applyNumberFormat="1" applyFont="1" applyFill="1" applyBorder="1"/>
    <xf numFmtId="170" fontId="27" fillId="4" borderId="7" xfId="0" applyNumberFormat="1" applyFont="1" applyFill="1" applyBorder="1"/>
    <xf numFmtId="170" fontId="26" fillId="3" borderId="0" xfId="0" applyNumberFormat="1" applyFont="1" applyFill="1" applyBorder="1"/>
    <xf numFmtId="170" fontId="26" fillId="4" borderId="0" xfId="0" applyNumberFormat="1" applyFont="1" applyFill="1" applyBorder="1"/>
    <xf numFmtId="170" fontId="7" fillId="3" borderId="9" xfId="0" applyNumberFormat="1" applyFont="1" applyFill="1" applyBorder="1" applyAlignment="1">
      <alignment horizontal="left"/>
    </xf>
    <xf numFmtId="170" fontId="7" fillId="4" borderId="10" xfId="0" applyNumberFormat="1" applyFont="1" applyFill="1" applyBorder="1"/>
    <xf numFmtId="170" fontId="7" fillId="3" borderId="10" xfId="0" applyNumberFormat="1" applyFont="1" applyFill="1" applyBorder="1"/>
    <xf numFmtId="170" fontId="27" fillId="3" borderId="10" xfId="0" applyNumberFormat="1" applyFont="1" applyFill="1" applyBorder="1"/>
    <xf numFmtId="170" fontId="27" fillId="4" borderId="10" xfId="0" applyNumberFormat="1" applyFont="1" applyFill="1" applyBorder="1"/>
    <xf numFmtId="170" fontId="21" fillId="2" borderId="0" xfId="22" applyNumberFormat="1" applyFont="1" applyFill="1" applyBorder="1">
      <alignment/>
      <protection/>
    </xf>
    <xf numFmtId="170" fontId="7" fillId="4" borderId="0" xfId="0" applyNumberFormat="1" applyFont="1" applyFill="1" applyBorder="1"/>
    <xf numFmtId="170" fontId="28" fillId="3" borderId="0" xfId="0" applyNumberFormat="1" applyFont="1" applyFill="1" applyBorder="1"/>
    <xf numFmtId="170" fontId="3" fillId="3" borderId="0" xfId="0" applyNumberFormat="1" applyFont="1" applyFill="1" applyBorder="1"/>
    <xf numFmtId="170" fontId="21" fillId="2" borderId="0" xfId="22" applyNumberFormat="1" applyFont="1" applyFill="1" applyBorder="1" applyAlignment="1">
      <alignment horizontal="right"/>
      <protection/>
    </xf>
    <xf numFmtId="170" fontId="0" fillId="4" borderId="2" xfId="0" applyNumberFormat="1" applyFont="1" applyFill="1" applyBorder="1"/>
    <xf numFmtId="170" fontId="0" fillId="3" borderId="2" xfId="0" applyNumberFormat="1" applyFont="1" applyFill="1" applyBorder="1" applyAlignment="1">
      <alignment horizontal="left" indent="2"/>
    </xf>
    <xf numFmtId="170" fontId="0" fillId="3" borderId="0" xfId="0" applyNumberFormat="1" applyFont="1" applyFill="1" applyBorder="1" applyAlignment="1">
      <alignment horizontal="left" indent="2"/>
    </xf>
    <xf numFmtId="170" fontId="19" fillId="3" borderId="0" xfId="0" applyNumberFormat="1" applyFont="1" applyFill="1" applyBorder="1"/>
    <xf numFmtId="170" fontId="19" fillId="0" borderId="0" xfId="0" applyNumberFormat="1" applyFont="1" applyFill="1" applyBorder="1"/>
    <xf numFmtId="170" fontId="7" fillId="3" borderId="0" xfId="0" applyNumberFormat="1" applyFont="1" applyFill="1" applyBorder="1" applyAlignment="1">
      <alignment horizontal="left"/>
    </xf>
    <xf numFmtId="170" fontId="0" fillId="3" borderId="2" xfId="0" applyNumberFormat="1" applyFont="1" applyFill="1" applyBorder="1" applyAlignment="1">
      <alignment horizontal="left" indent="1"/>
    </xf>
    <xf numFmtId="170" fontId="26" fillId="3" borderId="0" xfId="0" applyNumberFormat="1" applyFont="1" applyFill="1" applyBorder="1" applyAlignment="1">
      <alignment horizontal="left" indent="1"/>
    </xf>
    <xf numFmtId="170" fontId="26" fillId="3" borderId="2" xfId="0" applyNumberFormat="1" applyFont="1" applyFill="1" applyBorder="1" applyAlignment="1">
      <alignment horizontal="left" indent="1"/>
    </xf>
    <xf numFmtId="170" fontId="26" fillId="3" borderId="2" xfId="0" applyNumberFormat="1" applyFont="1" applyFill="1" applyBorder="1" applyAlignment="1">
      <alignment horizontal="left" indent="4"/>
    </xf>
    <xf numFmtId="170" fontId="26" fillId="4" borderId="2" xfId="0" applyNumberFormat="1" applyFont="1" applyFill="1" applyBorder="1"/>
    <xf numFmtId="170" fontId="26" fillId="3" borderId="2" xfId="0" applyNumberFormat="1" applyFont="1" applyFill="1" applyBorder="1"/>
    <xf numFmtId="170" fontId="0" fillId="3" borderId="7" xfId="0" applyNumberFormat="1" applyFont="1" applyFill="1" applyBorder="1"/>
    <xf numFmtId="170" fontId="0" fillId="4" borderId="7" xfId="0" applyNumberFormat="1" applyFont="1" applyFill="1" applyBorder="1"/>
    <xf numFmtId="170" fontId="9" fillId="3" borderId="0" xfId="0" applyNumberFormat="1" applyFont="1" applyFill="1" applyBorder="1"/>
    <xf numFmtId="170" fontId="9" fillId="4" borderId="0" xfId="0" applyNumberFormat="1" applyFont="1" applyFill="1" applyBorder="1"/>
    <xf numFmtId="170" fontId="7" fillId="3" borderId="10" xfId="0" applyNumberFormat="1" applyFont="1" applyFill="1" applyBorder="1" applyAlignment="1">
      <alignment horizontal="left"/>
    </xf>
    <xf numFmtId="170" fontId="27" fillId="4" borderId="0" xfId="0" applyNumberFormat="1" applyFont="1" applyFill="1" applyBorder="1"/>
    <xf numFmtId="170" fontId="8" fillId="3" borderId="0" xfId="16" applyNumberFormat="1" applyFont="1" applyFill="1" applyBorder="1">
      <alignment/>
      <protection/>
    </xf>
    <xf numFmtId="170" fontId="21" fillId="3" borderId="0" xfId="16" applyNumberFormat="1" applyFont="1" applyFill="1" applyBorder="1">
      <alignment/>
      <protection/>
    </xf>
    <xf numFmtId="170" fontId="26" fillId="4" borderId="0" xfId="0" applyNumberFormat="1" applyFont="1" applyFill="1" applyBorder="1" applyAlignment="1">
      <alignment horizontal="right"/>
    </xf>
    <xf numFmtId="170" fontId="8" fillId="3" borderId="2" xfId="16" applyNumberFormat="1" applyFont="1" applyFill="1" applyBorder="1">
      <alignment/>
      <protection/>
    </xf>
    <xf numFmtId="170" fontId="21" fillId="3" borderId="2" xfId="16" applyNumberFormat="1" applyFont="1" applyFill="1" applyBorder="1">
      <alignment/>
      <protection/>
    </xf>
    <xf numFmtId="170" fontId="26" fillId="4" borderId="2" xfId="0" applyNumberFormat="1" applyFont="1" applyFill="1" applyBorder="1" applyAlignment="1">
      <alignment horizontal="right"/>
    </xf>
    <xf numFmtId="170" fontId="27" fillId="3" borderId="0" xfId="0" applyNumberFormat="1" applyFont="1" applyFill="1" applyBorder="1"/>
    <xf numFmtId="171" fontId="26" fillId="4" borderId="0" xfId="0" applyNumberFormat="1" applyFont="1" applyFill="1" applyBorder="1"/>
    <xf numFmtId="171" fontId="26" fillId="3" borderId="0" xfId="0" applyNumberFormat="1" applyFont="1" applyFill="1" applyBorder="1"/>
    <xf numFmtId="170" fontId="28" fillId="0" borderId="0" xfId="0" applyNumberFormat="1" applyFont="1" applyFill="1" applyBorder="1"/>
    <xf numFmtId="170" fontId="28" fillId="3" borderId="0" xfId="0" applyNumberFormat="1" applyFont="1" applyFill="1" applyBorder="1" applyAlignment="1">
      <alignment horizontal="left"/>
    </xf>
    <xf numFmtId="170" fontId="8" fillId="3" borderId="0" xfId="0" applyNumberFormat="1" applyFont="1" applyFill="1" applyBorder="1"/>
    <xf numFmtId="170" fontId="6" fillId="3" borderId="0" xfId="16" applyNumberFormat="1" applyFont="1" applyFill="1" applyBorder="1">
      <alignment/>
      <protection/>
    </xf>
    <xf numFmtId="170" fontId="32" fillId="3" borderId="0" xfId="16" applyNumberFormat="1" applyFont="1" applyFill="1" applyBorder="1">
      <alignment/>
      <protection/>
    </xf>
    <xf numFmtId="170" fontId="27" fillId="4" borderId="0" xfId="0" applyNumberFormat="1" applyFont="1" applyFill="1" applyBorder="1" applyAlignment="1">
      <alignment horizontal="right"/>
    </xf>
    <xf numFmtId="1" fontId="27" fillId="3" borderId="0" xfId="0" applyNumberFormat="1" applyFont="1" applyFill="1" applyBorder="1" applyAlignment="1">
      <alignment horizontal="center"/>
    </xf>
    <xf numFmtId="0" fontId="32" fillId="3" borderId="0" xfId="0" applyNumberFormat="1" applyFont="1" applyFill="1" applyBorder="1" applyAlignment="1">
      <alignment horizontal="center"/>
    </xf>
    <xf numFmtId="171" fontId="26" fillId="4" borderId="2" xfId="0" applyNumberFormat="1" applyFont="1" applyFill="1" applyBorder="1" applyAlignment="1">
      <alignment horizontal="right"/>
    </xf>
    <xf numFmtId="171" fontId="27" fillId="3" borderId="0" xfId="0" applyNumberFormat="1" applyFont="1" applyFill="1" applyBorder="1" applyAlignment="1">
      <alignment horizontal="right"/>
    </xf>
    <xf numFmtId="171" fontId="27" fillId="4" borderId="0" xfId="0" applyNumberFormat="1" applyFont="1" applyFill="1" applyBorder="1" applyAlignment="1">
      <alignment horizontal="right"/>
    </xf>
    <xf numFmtId="171" fontId="27" fillId="4" borderId="0" xfId="0" applyNumberFormat="1" applyFont="1" applyFill="1" applyBorder="1"/>
    <xf numFmtId="170" fontId="26" fillId="4" borderId="0" xfId="0" applyNumberFormat="1" applyFont="1" applyFill="1" applyBorder="1" applyAlignment="1">
      <alignment horizontal="center"/>
    </xf>
    <xf numFmtId="173" fontId="27" fillId="4" borderId="0" xfId="0" applyNumberFormat="1" applyFont="1" applyFill="1" applyBorder="1"/>
    <xf numFmtId="173" fontId="24" fillId="4" borderId="0" xfId="0" applyNumberFormat="1" applyFont="1" applyFill="1" applyBorder="1" applyAlignment="1">
      <alignment horizontal="right"/>
    </xf>
    <xf numFmtId="176" fontId="27" fillId="4" borderId="0" xfId="16" applyNumberFormat="1" applyFont="1" applyFill="1" applyBorder="1">
      <alignment/>
      <protection/>
    </xf>
    <xf numFmtId="171" fontId="24" fillId="4" borderId="0" xfId="16" applyNumberFormat="1" applyFont="1" applyFill="1" applyBorder="1">
      <alignment/>
      <protection/>
    </xf>
    <xf numFmtId="181" fontId="27" fillId="4" borderId="0" xfId="0" applyNumberFormat="1" applyFont="1" applyFill="1" applyBorder="1"/>
    <xf numFmtId="181" fontId="24" fillId="4" borderId="0" xfId="0" applyNumberFormat="1" applyFont="1" applyFill="1" applyBorder="1" applyAlignment="1">
      <alignment horizontal="right"/>
    </xf>
    <xf numFmtId="174" fontId="26" fillId="4" borderId="0" xfId="0" applyNumberFormat="1" applyFont="1" applyFill="1" applyBorder="1" applyAlignment="1">
      <alignment horizontal="right"/>
    </xf>
    <xf numFmtId="170" fontId="29" fillId="3" borderId="2" xfId="0" applyNumberFormat="1" applyFont="1" applyFill="1" applyBorder="1"/>
    <xf numFmtId="171" fontId="7" fillId="4" borderId="7" xfId="0" applyNumberFormat="1" applyFont="1" applyFill="1" applyBorder="1" applyAlignment="1">
      <alignment horizontal="right"/>
    </xf>
    <xf numFmtId="171" fontId="7" fillId="3" borderId="7" xfId="0" applyNumberFormat="1" applyFont="1" applyFill="1" applyBorder="1"/>
    <xf numFmtId="171" fontId="7" fillId="3" borderId="7" xfId="0" applyNumberFormat="1" applyFont="1" applyFill="1" applyBorder="1" applyAlignment="1">
      <alignment horizontal="left" indent="1"/>
    </xf>
    <xf numFmtId="171" fontId="7" fillId="3" borderId="7" xfId="0" applyNumberFormat="1" applyFont="1" applyFill="1" applyBorder="1" applyAlignment="1">
      <alignment horizontal="right"/>
    </xf>
    <xf numFmtId="171" fontId="27" fillId="3" borderId="7" xfId="0" applyNumberFormat="1" applyFont="1" applyFill="1" applyBorder="1" applyAlignment="1">
      <alignment horizontal="right"/>
    </xf>
    <xf numFmtId="171" fontId="27" fillId="4" borderId="7" xfId="0" applyNumberFormat="1" applyFont="1" applyFill="1" applyBorder="1" applyAlignment="1">
      <alignment horizontal="right"/>
    </xf>
    <xf numFmtId="171" fontId="7" fillId="3" borderId="0" xfId="0" applyNumberFormat="1" applyFont="1" applyFill="1" applyBorder="1"/>
    <xf numFmtId="171" fontId="7" fillId="4" borderId="0" xfId="0" applyNumberFormat="1" applyFont="1" applyFill="1" applyBorder="1"/>
    <xf numFmtId="171" fontId="13" fillId="4" borderId="0" xfId="0" applyNumberFormat="1" applyFont="1" applyFill="1" applyBorder="1"/>
    <xf numFmtId="170" fontId="27" fillId="3" borderId="7" xfId="0" applyNumberFormat="1" applyFont="1" applyFill="1" applyBorder="1" applyAlignment="1">
      <alignment horizontal="left" indent="1"/>
    </xf>
    <xf numFmtId="17" fontId="8" fillId="3" borderId="0" xfId="0" applyNumberFormat="1" applyFont="1" applyFill="1" applyBorder="1" applyAlignment="1">
      <alignment horizontal="center"/>
    </xf>
    <xf numFmtId="17" fontId="21" fillId="3" borderId="0" xfId="0" applyNumberFormat="1" applyFont="1" applyFill="1" applyBorder="1" applyAlignment="1">
      <alignment horizontal="center"/>
    </xf>
    <xf numFmtId="170" fontId="27" fillId="3" borderId="7" xfId="0" applyNumberFormat="1" applyFont="1" applyFill="1" applyBorder="1" applyAlignment="1">
      <alignment horizontal="left" indent="4"/>
    </xf>
    <xf numFmtId="170" fontId="0" fillId="3" borderId="2" xfId="0" applyNumberFormat="1" applyFont="1" applyFill="1" applyBorder="1" applyAlignment="1">
      <alignment horizontal="left" indent="3"/>
    </xf>
    <xf numFmtId="170" fontId="26" fillId="3" borderId="0" xfId="0" applyNumberFormat="1" applyFont="1" applyFill="1" applyBorder="1" applyAlignment="1">
      <alignment horizontal="left" indent="3"/>
    </xf>
    <xf numFmtId="168" fontId="33" fillId="5" borderId="0" xfId="27" applyNumberFormat="1" applyFont="1" applyFill="1" applyBorder="1">
      <alignment/>
      <protection/>
    </xf>
    <xf numFmtId="171" fontId="23" fillId="5" borderId="0" xfId="27" applyNumberFormat="1" applyFont="1" applyFill="1" applyBorder="1">
      <alignment/>
      <protection/>
    </xf>
    <xf numFmtId="171" fontId="34" fillId="5" borderId="0" xfId="27" applyNumberFormat="1" applyFont="1" applyFill="1" applyBorder="1">
      <alignment/>
      <protection/>
    </xf>
    <xf numFmtId="168" fontId="23" fillId="5" borderId="0" xfId="27" applyNumberFormat="1" applyFont="1" applyFill="1" applyBorder="1">
      <alignment/>
      <protection/>
    </xf>
    <xf numFmtId="168" fontId="32" fillId="3" borderId="0" xfId="27" applyNumberFormat="1" applyFont="1" applyFill="1" applyBorder="1" applyAlignment="1">
      <alignment horizontal="center"/>
      <protection/>
    </xf>
    <xf numFmtId="170" fontId="27" fillId="4" borderId="7" xfId="27" applyNumberFormat="1" applyFont="1" applyFill="1" applyBorder="1">
      <alignment/>
      <protection/>
    </xf>
    <xf numFmtId="170" fontId="27" fillId="3" borderId="7" xfId="27" applyNumberFormat="1" applyFont="1" applyFill="1" applyBorder="1">
      <alignment/>
      <protection/>
    </xf>
    <xf numFmtId="170" fontId="27" fillId="4" borderId="0" xfId="27" applyNumberFormat="1" applyFont="1" applyFill="1" applyBorder="1">
      <alignment/>
      <protection/>
    </xf>
    <xf numFmtId="170" fontId="27" fillId="3" borderId="0" xfId="27" applyNumberFormat="1" applyFont="1" applyFill="1" applyBorder="1">
      <alignment/>
      <protection/>
    </xf>
    <xf numFmtId="170" fontId="26" fillId="4" borderId="0" xfId="27" applyNumberFormat="1" applyFont="1" applyFill="1" applyBorder="1">
      <alignment/>
      <protection/>
    </xf>
    <xf numFmtId="170" fontId="26" fillId="3" borderId="0" xfId="27" applyNumberFormat="1" applyFont="1" applyFill="1" applyBorder="1">
      <alignment/>
      <protection/>
    </xf>
    <xf numFmtId="170" fontId="26" fillId="4" borderId="2" xfId="27" applyNumberFormat="1" applyFont="1" applyFill="1" applyBorder="1">
      <alignment/>
      <protection/>
    </xf>
    <xf numFmtId="170" fontId="26" fillId="3" borderId="2" xfId="27" applyNumberFormat="1" applyFont="1" applyFill="1" applyBorder="1">
      <alignment/>
      <protection/>
    </xf>
    <xf numFmtId="171" fontId="26" fillId="4" borderId="0" xfId="27" applyNumberFormat="1" applyFont="1" applyFill="1" applyBorder="1">
      <alignment/>
      <protection/>
    </xf>
    <xf numFmtId="171" fontId="26" fillId="3" borderId="0" xfId="27" applyNumberFormat="1" applyFont="1" applyFill="1" applyBorder="1">
      <alignment/>
      <protection/>
    </xf>
    <xf numFmtId="171" fontId="26" fillId="4" borderId="2" xfId="27" applyNumberFormat="1" applyFont="1" applyFill="1" applyBorder="1">
      <alignment/>
      <protection/>
    </xf>
    <xf numFmtId="171" fontId="26" fillId="3" borderId="2" xfId="27" applyNumberFormat="1" applyFont="1" applyFill="1" applyBorder="1">
      <alignment/>
      <protection/>
    </xf>
    <xf numFmtId="171" fontId="27" fillId="4" borderId="0" xfId="27" applyNumberFormat="1" applyFont="1" applyFill="1" applyBorder="1">
      <alignment/>
      <protection/>
    </xf>
    <xf numFmtId="171" fontId="27" fillId="3" borderId="0" xfId="27" applyNumberFormat="1" applyFont="1" applyFill="1" applyBorder="1">
      <alignment/>
      <protection/>
    </xf>
    <xf numFmtId="171" fontId="27" fillId="4" borderId="0" xfId="27" applyNumberFormat="1" applyFont="1" applyFill="1" applyBorder="1" applyAlignment="1">
      <alignment horizontal="center"/>
      <protection/>
    </xf>
    <xf numFmtId="171" fontId="27" fillId="3" borderId="0" xfId="27" applyNumberFormat="1" applyFont="1" applyFill="1" applyBorder="1" applyAlignment="1">
      <alignment horizontal="center"/>
      <protection/>
    </xf>
    <xf numFmtId="171" fontId="26" fillId="3" borderId="0" xfId="27" applyNumberFormat="1" applyFont="1" applyFill="1" applyBorder="1" applyAlignment="1">
      <alignment horizontal="center"/>
      <protection/>
    </xf>
    <xf numFmtId="171" fontId="26" fillId="4" borderId="0" xfId="27" applyNumberFormat="1" applyFont="1" applyFill="1" applyBorder="1" applyAlignment="1">
      <alignment horizontal="center"/>
      <protection/>
    </xf>
    <xf numFmtId="181" fontId="26" fillId="4" borderId="0" xfId="27" applyNumberFormat="1" applyFont="1" applyFill="1" applyBorder="1" applyAlignment="1">
      <alignment horizontal="right"/>
      <protection/>
    </xf>
    <xf numFmtId="181" fontId="26" fillId="3" borderId="0" xfId="27" applyNumberFormat="1" applyFont="1" applyFill="1" applyBorder="1" applyAlignment="1">
      <alignment horizontal="right"/>
      <protection/>
    </xf>
    <xf numFmtId="170" fontId="26" fillId="4" borderId="0" xfId="27" applyNumberFormat="1" applyFont="1" applyFill="1" applyBorder="1" applyAlignment="1">
      <alignment horizontal="right"/>
      <protection/>
    </xf>
    <xf numFmtId="170" fontId="26" fillId="3" borderId="0" xfId="27" applyNumberFormat="1" applyFont="1" applyFill="1" applyBorder="1" applyAlignment="1">
      <alignment horizontal="right"/>
      <protection/>
    </xf>
    <xf numFmtId="170" fontId="26" fillId="4" borderId="2" xfId="27" applyNumberFormat="1" applyFont="1" applyFill="1" applyBorder="1" applyAlignment="1">
      <alignment horizontal="right"/>
      <protection/>
    </xf>
    <xf numFmtId="170" fontId="26" fillId="3" borderId="2" xfId="27" applyNumberFormat="1" applyFont="1" applyFill="1" applyBorder="1" applyAlignment="1">
      <alignment horizontal="right"/>
      <protection/>
    </xf>
    <xf numFmtId="171" fontId="26" fillId="4" borderId="0" xfId="27" applyNumberFormat="1" applyFont="1" applyFill="1" applyBorder="1" applyAlignment="1">
      <alignment horizontal="right"/>
      <protection/>
    </xf>
    <xf numFmtId="171" fontId="26" fillId="3" borderId="0" xfId="27" applyNumberFormat="1" applyFont="1" applyFill="1" applyBorder="1" applyAlignment="1">
      <alignment horizontal="right"/>
      <protection/>
    </xf>
    <xf numFmtId="174" fontId="26" fillId="4" borderId="0" xfId="27" applyNumberFormat="1" applyFont="1" applyFill="1" applyBorder="1" applyAlignment="1">
      <alignment horizontal="right"/>
      <protection/>
    </xf>
    <xf numFmtId="174" fontId="26" fillId="3" borderId="0" xfId="27" applyNumberFormat="1" applyFont="1" applyFill="1" applyBorder="1" applyAlignment="1">
      <alignment horizontal="right"/>
      <protection/>
    </xf>
    <xf numFmtId="174" fontId="26" fillId="3" borderId="0" xfId="27" applyNumberFormat="1" applyFont="1" applyFill="1" applyBorder="1">
      <alignment/>
      <protection/>
    </xf>
    <xf numFmtId="170" fontId="30" fillId="3" borderId="0" xfId="0" applyNumberFormat="1" applyFont="1" applyFill="1" applyBorder="1" applyAlignment="1">
      <alignment horizontal="left" indent="1"/>
    </xf>
    <xf numFmtId="170" fontId="24" fillId="4" borderId="0" xfId="0" applyNumberFormat="1" applyFont="1" applyFill="1" applyBorder="1"/>
    <xf numFmtId="170" fontId="24" fillId="3" borderId="0" xfId="0" applyNumberFormat="1" applyFont="1" applyFill="1" applyBorder="1"/>
    <xf numFmtId="170" fontId="30" fillId="3" borderId="0" xfId="0" applyNumberFormat="1" applyFont="1" applyFill="1" applyBorder="1"/>
    <xf numFmtId="170" fontId="24" fillId="0" borderId="0" xfId="0" applyNumberFormat="1" applyFont="1" applyFill="1" applyBorder="1"/>
    <xf numFmtId="171" fontId="30" fillId="3" borderId="0" xfId="0" applyNumberFormat="1" applyFont="1" applyFill="1" applyBorder="1" applyAlignment="1">
      <alignment horizontal="left" indent="1"/>
    </xf>
    <xf numFmtId="171" fontId="24" fillId="0" borderId="0" xfId="0" applyNumberFormat="1" applyFont="1" applyFill="1" applyBorder="1"/>
    <xf numFmtId="173" fontId="30" fillId="3" borderId="0" xfId="0" applyNumberFormat="1" applyFont="1" applyFill="1" applyBorder="1" applyAlignment="1">
      <alignment horizontal="left" indent="1"/>
    </xf>
    <xf numFmtId="173" fontId="24" fillId="4" borderId="0" xfId="0" applyNumberFormat="1" applyFont="1" applyFill="1" applyBorder="1"/>
    <xf numFmtId="173" fontId="24" fillId="3" borderId="0" xfId="0" applyNumberFormat="1" applyFont="1" applyFill="1" applyBorder="1"/>
    <xf numFmtId="173" fontId="30" fillId="3" borderId="0" xfId="0" applyNumberFormat="1" applyFont="1" applyFill="1" applyBorder="1"/>
    <xf numFmtId="173" fontId="24" fillId="0" borderId="0" xfId="0" applyNumberFormat="1" applyFont="1" applyFill="1" applyBorder="1"/>
    <xf numFmtId="181" fontId="30" fillId="3" borderId="0" xfId="0" applyNumberFormat="1" applyFont="1" applyFill="1" applyBorder="1" applyAlignment="1">
      <alignment horizontal="left" indent="1"/>
    </xf>
    <xf numFmtId="181" fontId="24" fillId="4" borderId="0" xfId="0" applyNumberFormat="1" applyFont="1" applyFill="1" applyBorder="1"/>
    <xf numFmtId="181" fontId="24" fillId="3" borderId="0" xfId="0" applyNumberFormat="1" applyFont="1" applyFill="1" applyBorder="1"/>
    <xf numFmtId="181" fontId="24" fillId="0" borderId="0" xfId="0" applyNumberFormat="1" applyFont="1" applyFill="1" applyBorder="1"/>
    <xf numFmtId="170" fontId="24" fillId="3" borderId="0" xfId="0" applyNumberFormat="1" applyFont="1" applyFill="1" applyBorder="1" applyAlignment="1">
      <alignment horizontal="center"/>
    </xf>
    <xf numFmtId="174" fontId="2" fillId="3" borderId="0" xfId="0" applyNumberFormat="1" applyFont="1" applyFill="1" applyBorder="1"/>
    <xf numFmtId="171" fontId="24" fillId="3" borderId="0" xfId="0" applyNumberFormat="1" applyFont="1" applyFill="1" applyBorder="1" applyAlignment="1">
      <alignment horizontal="right"/>
    </xf>
    <xf numFmtId="181" fontId="27" fillId="3" borderId="0" xfId="0" applyNumberFormat="1" applyFont="1" applyFill="1" applyBorder="1" applyAlignment="1">
      <alignment horizontal="left"/>
    </xf>
    <xf numFmtId="181" fontId="27" fillId="3" borderId="0" xfId="0" applyNumberFormat="1" applyFont="1" applyFill="1" applyBorder="1"/>
    <xf numFmtId="181" fontId="13" fillId="4" borderId="0" xfId="0" applyNumberFormat="1" applyFont="1" applyFill="1" applyBorder="1"/>
    <xf numFmtId="171" fontId="13" fillId="3" borderId="0" xfId="0" applyNumberFormat="1" applyFont="1" applyFill="1" applyBorder="1"/>
    <xf numFmtId="171" fontId="24" fillId="3" borderId="0" xfId="0" applyNumberFormat="1" applyFont="1" applyFill="1" applyBorder="1" applyAlignment="1">
      <alignment horizontal="left" indent="1"/>
    </xf>
    <xf numFmtId="170" fontId="0" fillId="3" borderId="0" xfId="0" applyNumberFormat="1" applyFont="1" applyFill="1" applyBorder="1" applyAlignment="1">
      <alignment horizontal="left" indent="3"/>
    </xf>
    <xf numFmtId="170" fontId="0" fillId="3" borderId="0" xfId="0" applyNumberFormat="1" applyFont="1" applyFill="1" applyBorder="1" applyAlignment="1">
      <alignment horizontal="left"/>
    </xf>
    <xf numFmtId="168" fontId="28" fillId="3" borderId="0" xfId="0" applyNumberFormat="1" applyFont="1" applyFill="1" applyBorder="1" applyAlignment="1">
      <alignment horizontal="left"/>
    </xf>
    <xf numFmtId="170" fontId="28" fillId="3" borderId="7" xfId="0" applyNumberFormat="1" applyFont="1" applyFill="1" applyBorder="1" applyAlignment="1">
      <alignment horizontal="left"/>
    </xf>
    <xf numFmtId="170" fontId="24" fillId="3" borderId="0" xfId="0" applyNumberFormat="1" applyFont="1" applyFill="1" applyBorder="1" applyAlignment="1">
      <alignment horizontal="left" indent="3"/>
    </xf>
    <xf numFmtId="170" fontId="24" fillId="3" borderId="0" xfId="0" applyNumberFormat="1" applyFont="1" applyFill="1" applyBorder="1" applyAlignment="1">
      <alignment horizontal="left" indent="4"/>
    </xf>
    <xf numFmtId="171" fontId="26" fillId="3" borderId="0" xfId="0" applyNumberFormat="1" applyFont="1" applyFill="1" applyBorder="1" applyAlignment="1">
      <alignment horizontal="left" indent="3"/>
    </xf>
    <xf numFmtId="171" fontId="24" fillId="3" borderId="0" xfId="0" applyNumberFormat="1" applyFont="1" applyFill="1" applyBorder="1" applyAlignment="1">
      <alignment horizontal="left" indent="4"/>
    </xf>
    <xf numFmtId="170" fontId="26" fillId="3" borderId="0" xfId="0" applyNumberFormat="1" applyFont="1" applyFill="1" applyBorder="1" applyAlignment="1">
      <alignment horizontal="left" indent="4"/>
    </xf>
    <xf numFmtId="181" fontId="27" fillId="3" borderId="0" xfId="0" applyNumberFormat="1" applyFont="1" applyFill="1" applyBorder="1" applyAlignment="1">
      <alignment horizontal="left" indent="4"/>
    </xf>
    <xf numFmtId="173" fontId="24" fillId="3" borderId="0" xfId="0" applyNumberFormat="1" applyFont="1" applyFill="1" applyBorder="1" applyAlignment="1">
      <alignment horizontal="left" indent="3"/>
    </xf>
    <xf numFmtId="181" fontId="24" fillId="3" borderId="0" xfId="0" applyNumberFormat="1" applyFont="1" applyFill="1" applyBorder="1" applyAlignment="1">
      <alignment horizontal="left" indent="3"/>
    </xf>
    <xf numFmtId="171" fontId="9" fillId="3" borderId="0" xfId="0" applyNumberFormat="1" applyFont="1" applyFill="1" applyBorder="1"/>
    <xf numFmtId="181" fontId="13" fillId="3" borderId="0" xfId="0" applyNumberFormat="1" applyFont="1" applyFill="1" applyBorder="1"/>
    <xf numFmtId="170" fontId="26" fillId="3" borderId="7" xfId="0" applyNumberFormat="1" applyFont="1" applyFill="1" applyBorder="1"/>
    <xf numFmtId="173" fontId="27" fillId="3" borderId="0" xfId="0" applyNumberFormat="1" applyFont="1" applyFill="1" applyBorder="1"/>
    <xf numFmtId="176" fontId="13" fillId="3" borderId="0" xfId="16" applyNumberFormat="1" applyFont="1" applyFill="1" applyBorder="1">
      <alignment/>
      <protection/>
    </xf>
    <xf numFmtId="171" fontId="24" fillId="3" borderId="0" xfId="16" applyNumberFormat="1" applyFont="1" applyFill="1" applyBorder="1">
      <alignment/>
      <protection/>
    </xf>
    <xf numFmtId="170" fontId="26" fillId="4" borderId="7" xfId="0" applyNumberFormat="1" applyFont="1" applyFill="1" applyBorder="1"/>
    <xf numFmtId="171" fontId="19" fillId="3" borderId="0" xfId="0" applyNumberFormat="1" applyFont="1" applyFill="1" applyBorder="1" applyAlignment="1">
      <alignment horizontal="right"/>
    </xf>
    <xf numFmtId="171" fontId="26" fillId="3" borderId="0" xfId="0" applyNumberFormat="1" applyFont="1" applyFill="1" applyBorder="1" applyAlignment="1">
      <alignment horizontal="right"/>
    </xf>
    <xf numFmtId="17" fontId="36" fillId="3" borderId="0" xfId="27" applyNumberFormat="1" applyFont="1" applyFill="1" applyBorder="1" applyAlignment="1">
      <alignment horizontal="center"/>
      <protection/>
    </xf>
    <xf numFmtId="170" fontId="9" fillId="3" borderId="2" xfId="0" applyNumberFormat="1" applyFont="1" applyFill="1" applyBorder="1"/>
    <xf numFmtId="170" fontId="9" fillId="4" borderId="2" xfId="0" applyNumberFormat="1" applyFont="1" applyFill="1" applyBorder="1"/>
    <xf numFmtId="170" fontId="24" fillId="3" borderId="0" xfId="0" applyNumberFormat="1" applyFont="1" applyFill="1" applyBorder="1" applyAlignment="1">
      <alignment horizontal="right"/>
    </xf>
    <xf numFmtId="170" fontId="24" fillId="4" borderId="0" xfId="0" applyNumberFormat="1" applyFont="1" applyFill="1" applyBorder="1" applyAlignment="1">
      <alignment horizontal="right"/>
    </xf>
    <xf numFmtId="181" fontId="24" fillId="3" borderId="0" xfId="0" applyNumberFormat="1" applyFont="1" applyFill="1" applyBorder="1" applyAlignment="1">
      <alignment horizontal="right"/>
    </xf>
    <xf numFmtId="173" fontId="24" fillId="3" borderId="0" xfId="0" applyNumberFormat="1" applyFont="1" applyFill="1" applyBorder="1" applyAlignment="1">
      <alignment horizontal="right"/>
    </xf>
    <xf numFmtId="17" fontId="2" fillId="3" borderId="0" xfId="0" applyNumberFormat="1" applyFont="1" applyFill="1" applyBorder="1" applyAlignment="1">
      <alignment horizontal="center"/>
    </xf>
    <xf numFmtId="175" fontId="0" fillId="3" borderId="0" xfId="0" applyNumberFormat="1" applyFont="1" applyFill="1" applyBorder="1"/>
    <xf numFmtId="172" fontId="37" fillId="3" borderId="0" xfId="23" applyNumberFormat="1" applyFont="1" applyFill="1" applyBorder="1" applyAlignment="1">
      <alignment horizontal="left"/>
      <protection/>
    </xf>
    <xf numFmtId="168" fontId="32" fillId="3" borderId="0" xfId="27" applyNumberFormat="1" applyFont="1" applyFill="1" applyBorder="1" applyAlignment="1">
      <alignment horizontal="left"/>
      <protection/>
    </xf>
    <xf numFmtId="168" fontId="36" fillId="3" borderId="0" xfId="27" applyNumberFormat="1" applyFont="1" applyFill="1" applyBorder="1" applyAlignment="1">
      <alignment horizontal="center"/>
      <protection/>
    </xf>
    <xf numFmtId="168" fontId="27" fillId="3" borderId="0" xfId="27" applyNumberFormat="1" applyFont="1" applyFill="1" applyBorder="1" applyAlignment="1">
      <alignment horizontal="left"/>
      <protection/>
    </xf>
    <xf numFmtId="168" fontId="26" fillId="3" borderId="0" xfId="27" applyNumberFormat="1" applyFont="1" applyFill="1" applyBorder="1" applyAlignment="1">
      <alignment horizontal="left" indent="1"/>
      <protection/>
    </xf>
    <xf numFmtId="168" fontId="26" fillId="3" borderId="0" xfId="27" applyNumberFormat="1" applyFont="1" applyFill="1" applyBorder="1" applyAlignment="1">
      <alignment horizontal="left" indent="3"/>
      <protection/>
    </xf>
    <xf numFmtId="170" fontId="27" fillId="3" borderId="7" xfId="27" applyNumberFormat="1" applyFont="1" applyFill="1" applyBorder="1" applyAlignment="1">
      <alignment horizontal="left"/>
      <protection/>
    </xf>
    <xf numFmtId="170" fontId="27" fillId="3" borderId="7" xfId="27" applyNumberFormat="1" applyFont="1" applyFill="1" applyBorder="1" applyAlignment="1">
      <alignment horizontal="left" indent="3"/>
      <protection/>
    </xf>
    <xf numFmtId="170" fontId="27" fillId="3" borderId="0" xfId="27" applyNumberFormat="1" applyFont="1" applyFill="1" applyBorder="1" applyAlignment="1">
      <alignment horizontal="left"/>
      <protection/>
    </xf>
    <xf numFmtId="170" fontId="27" fillId="3" borderId="0" xfId="27" applyNumberFormat="1" applyFont="1" applyFill="1" applyBorder="1" applyAlignment="1">
      <alignment horizontal="left" indent="3"/>
      <protection/>
    </xf>
    <xf numFmtId="168" fontId="27" fillId="3" borderId="0" xfId="27" applyNumberFormat="1" applyFont="1" applyFill="1" applyBorder="1" applyAlignment="1">
      <alignment horizontal="left" indent="3"/>
      <protection/>
    </xf>
    <xf numFmtId="170" fontId="26" fillId="3" borderId="0" xfId="27" applyNumberFormat="1" applyFont="1" applyFill="1" applyBorder="1" applyAlignment="1">
      <alignment horizontal="left" indent="1"/>
      <protection/>
    </xf>
    <xf numFmtId="170" fontId="26" fillId="3" borderId="0" xfId="27" applyNumberFormat="1" applyFont="1" applyFill="1" applyBorder="1" applyAlignment="1">
      <alignment horizontal="left" indent="3"/>
      <protection/>
    </xf>
    <xf numFmtId="170" fontId="26" fillId="3" borderId="2" xfId="27" applyNumberFormat="1" applyFont="1" applyFill="1" applyBorder="1" applyAlignment="1">
      <alignment horizontal="left" indent="1"/>
      <protection/>
    </xf>
    <xf numFmtId="170" fontId="26" fillId="3" borderId="2" xfId="27" applyNumberFormat="1" applyFont="1" applyFill="1" applyBorder="1" applyAlignment="1">
      <alignment horizontal="left" indent="3"/>
      <protection/>
    </xf>
    <xf numFmtId="168" fontId="26" fillId="3" borderId="0" xfId="27" applyNumberFormat="1" applyFont="1" applyFill="1" applyBorder="1" applyAlignment="1">
      <alignment horizontal="left" indent="2"/>
      <protection/>
    </xf>
    <xf numFmtId="171" fontId="26" fillId="3" borderId="0" xfId="27" applyNumberFormat="1" applyFont="1" applyFill="1" applyBorder="1" applyAlignment="1">
      <alignment horizontal="left" indent="1"/>
      <protection/>
    </xf>
    <xf numFmtId="171" fontId="26" fillId="3" borderId="0" xfId="27" applyNumberFormat="1" applyFont="1" applyFill="1" applyBorder="1" applyAlignment="1">
      <alignment horizontal="left" indent="3"/>
      <protection/>
    </xf>
    <xf numFmtId="171" fontId="26" fillId="3" borderId="2" xfId="27" applyNumberFormat="1" applyFont="1" applyFill="1" applyBorder="1" applyAlignment="1">
      <alignment horizontal="left" indent="1"/>
      <protection/>
    </xf>
    <xf numFmtId="171" fontId="26" fillId="3" borderId="2" xfId="27" applyNumberFormat="1" applyFont="1" applyFill="1" applyBorder="1" applyAlignment="1">
      <alignment horizontal="left" indent="3"/>
      <protection/>
    </xf>
    <xf numFmtId="171" fontId="27" fillId="3" borderId="0" xfId="27" applyNumberFormat="1" applyFont="1" applyFill="1" applyBorder="1" applyAlignment="1">
      <alignment horizontal="left"/>
      <protection/>
    </xf>
    <xf numFmtId="171" fontId="27" fillId="3" borderId="0" xfId="27" applyNumberFormat="1" applyFont="1" applyFill="1" applyBorder="1" applyAlignment="1">
      <alignment horizontal="left" indent="3"/>
      <protection/>
    </xf>
    <xf numFmtId="173" fontId="32" fillId="3" borderId="0" xfId="21" applyNumberFormat="1" applyFont="1" applyFill="1" applyBorder="1">
      <alignment/>
      <protection/>
    </xf>
    <xf numFmtId="166" fontId="32" fillId="3" borderId="0" xfId="21" applyNumberFormat="1" applyFont="1" applyFill="1" applyBorder="1">
      <alignment/>
      <protection/>
    </xf>
    <xf numFmtId="166" fontId="27" fillId="3" borderId="0" xfId="27" applyNumberFormat="1" applyFont="1" applyFill="1" applyBorder="1" applyAlignment="1">
      <alignment horizontal="left" indent="3"/>
      <protection/>
    </xf>
    <xf numFmtId="171" fontId="21" fillId="3" borderId="0" xfId="21" applyNumberFormat="1" applyFont="1" applyFill="1" applyBorder="1">
      <alignment/>
      <protection/>
    </xf>
    <xf numFmtId="166" fontId="27" fillId="3" borderId="0" xfId="27" applyNumberFormat="1" applyFont="1" applyFill="1" applyBorder="1" applyAlignment="1">
      <alignment horizontal="left"/>
      <protection/>
    </xf>
    <xf numFmtId="166" fontId="26" fillId="3" borderId="0" xfId="27" applyNumberFormat="1" applyFont="1" applyFill="1" applyBorder="1" applyAlignment="1">
      <alignment horizontal="left"/>
      <protection/>
    </xf>
    <xf numFmtId="181" fontId="26" fillId="3" borderId="0" xfId="27" applyNumberFormat="1" applyFont="1" applyFill="1" applyBorder="1" applyAlignment="1">
      <alignment horizontal="left"/>
      <protection/>
    </xf>
    <xf numFmtId="181" fontId="21" fillId="3" borderId="0" xfId="21" applyNumberFormat="1" applyFont="1" applyFill="1" applyBorder="1">
      <alignment/>
      <protection/>
    </xf>
    <xf numFmtId="170" fontId="21" fillId="3" borderId="0" xfId="21" applyNumberFormat="1" applyFont="1" applyFill="1" applyBorder="1">
      <alignment/>
      <protection/>
    </xf>
    <xf numFmtId="170" fontId="21" fillId="3" borderId="2" xfId="21" applyNumberFormat="1" applyFont="1" applyFill="1" applyBorder="1">
      <alignment/>
      <protection/>
    </xf>
    <xf numFmtId="171" fontId="26" fillId="3" borderId="0" xfId="27" applyNumberFormat="1" applyFont="1" applyFill="1" applyBorder="1" applyAlignment="1">
      <alignment horizontal="left"/>
      <protection/>
    </xf>
    <xf numFmtId="174" fontId="21" fillId="3" borderId="0" xfId="27" applyNumberFormat="1" applyFont="1" applyFill="1" applyBorder="1">
      <alignment/>
      <protection/>
    </xf>
    <xf numFmtId="174" fontId="26" fillId="3" borderId="0" xfId="27" applyNumberFormat="1" applyFont="1" applyFill="1" applyBorder="1" applyAlignment="1">
      <alignment horizontal="left" indent="3"/>
      <protection/>
    </xf>
    <xf numFmtId="0" fontId="26" fillId="3" borderId="0" xfId="27" applyNumberFormat="1" applyFont="1" applyFill="1" applyBorder="1">
      <alignment/>
      <protection/>
    </xf>
    <xf numFmtId="168" fontId="21" fillId="3" borderId="0" xfId="0" applyNumberFormat="1" applyFont="1" applyFill="1" applyBorder="1"/>
    <xf numFmtId="181" fontId="21" fillId="3" borderId="0" xfId="0" applyNumberFormat="1" applyFont="1" applyFill="1" applyBorder="1"/>
    <xf numFmtId="176" fontId="21" fillId="3" borderId="0" xfId="16" applyNumberFormat="1" applyFont="1" applyFill="1" applyBorder="1">
      <alignment/>
      <protection/>
    </xf>
    <xf numFmtId="173" fontId="21" fillId="3" borderId="0" xfId="0" applyNumberFormat="1" applyFont="1" applyFill="1" applyBorder="1"/>
    <xf numFmtId="173" fontId="7" fillId="3" borderId="0" xfId="0" applyNumberFormat="1" applyFont="1" applyFill="1" applyBorder="1"/>
    <xf numFmtId="176" fontId="7" fillId="3" borderId="0" xfId="0" applyNumberFormat="1" applyFont="1" applyFill="1" applyBorder="1"/>
    <xf numFmtId="168" fontId="26" fillId="3" borderId="11" xfId="0" applyNumberFormat="1" applyFont="1" applyFill="1" applyBorder="1"/>
    <xf numFmtId="168" fontId="21" fillId="3" borderId="12" xfId="25" applyNumberFormat="1" applyFont="1" applyFill="1" applyBorder="1" applyAlignment="1">
      <alignment horizontal="left" indent="1"/>
      <protection/>
    </xf>
    <xf numFmtId="168" fontId="7" fillId="3" borderId="13" xfId="0" applyNumberFormat="1" applyFont="1" applyFill="1" applyBorder="1"/>
    <xf numFmtId="170" fontId="0" fillId="0" borderId="0" xfId="0" applyNumberFormat="1" applyFont="1" applyFill="1" applyBorder="1"/>
    <xf numFmtId="187" fontId="0" fillId="3" borderId="0" xfId="0" applyNumberFormat="1" applyFont="1" applyFill="1" applyBorder="1"/>
    <xf numFmtId="168" fontId="0" fillId="3" borderId="0" xfId="0" applyNumberFormat="1" applyFont="1" applyFill="1" applyBorder="1" applyAlignment="1">
      <alignment horizontal="left" indent="1"/>
    </xf>
    <xf numFmtId="0" fontId="0" fillId="3" borderId="0" xfId="0" applyNumberFormat="1" applyFont="1" applyFill="1" applyBorder="1"/>
    <xf numFmtId="170" fontId="0" fillId="3" borderId="0" xfId="0" applyNumberFormat="1" applyFont="1" applyFill="1" applyBorder="1" applyAlignment="1">
      <alignment horizontal="left" indent="1"/>
    </xf>
    <xf numFmtId="170" fontId="0" fillId="3" borderId="0" xfId="0" applyNumberFormat="1" applyFont="1" applyFill="1" applyBorder="1"/>
    <xf numFmtId="170" fontId="0" fillId="3" borderId="14" xfId="0" applyNumberFormat="1" applyFont="1" applyFill="1" applyBorder="1" applyAlignment="1">
      <alignment horizontal="left" indent="1"/>
    </xf>
    <xf numFmtId="170" fontId="0" fillId="3" borderId="14" xfId="0" applyNumberFormat="1" applyFont="1" applyFill="1" applyBorder="1"/>
    <xf numFmtId="0" fontId="34" fillId="5" borderId="0" xfId="0" applyNumberFormat="1" applyFont="1" applyFill="1" applyBorder="1"/>
    <xf numFmtId="0" fontId="7" fillId="3" borderId="0" xfId="0" applyNumberFormat="1" applyFont="1" applyFill="1" applyBorder="1"/>
    <xf numFmtId="181" fontId="26" fillId="3" borderId="0" xfId="27" applyNumberFormat="1" applyFont="1" applyFill="1" applyBorder="1">
      <alignment/>
      <protection/>
    </xf>
    <xf numFmtId="188" fontId="9" fillId="3" borderId="0" xfId="0" applyNumberFormat="1" applyFont="1" applyFill="1" applyBorder="1"/>
    <xf numFmtId="168" fontId="21" fillId="3" borderId="0" xfId="25" applyNumberFormat="1" applyFont="1" applyFill="1" applyBorder="1">
      <alignment/>
      <protection/>
    </xf>
    <xf numFmtId="168" fontId="26" fillId="3" borderId="13" xfId="0" applyNumberFormat="1" applyFont="1" applyFill="1" applyBorder="1"/>
    <xf numFmtId="168" fontId="21" fillId="3" borderId="13" xfId="25" applyNumberFormat="1" applyFont="1" applyFill="1" applyBorder="1">
      <alignment/>
      <protection/>
    </xf>
    <xf numFmtId="168" fontId="26" fillId="3" borderId="15" xfId="0" applyNumberFormat="1" applyFont="1" applyFill="1" applyBorder="1"/>
    <xf numFmtId="169" fontId="32" fillId="3" borderId="16" xfId="25" applyNumberFormat="1" applyFont="1" applyFill="1" applyBorder="1" applyAlignment="1">
      <alignment horizontal="left"/>
      <protection/>
    </xf>
    <xf numFmtId="169" fontId="21" fillId="3" borderId="12" xfId="25" applyNumberFormat="1" applyFont="1" applyFill="1" applyBorder="1" applyAlignment="1">
      <alignment horizontal="left"/>
      <protection/>
    </xf>
    <xf numFmtId="187" fontId="21" fillId="3" borderId="12" xfId="25" applyNumberFormat="1" applyFont="1" applyFill="1" applyBorder="1" applyAlignment="1">
      <alignment horizontal="left" indent="1"/>
      <protection/>
    </xf>
    <xf numFmtId="187" fontId="26" fillId="3" borderId="0" xfId="0" applyNumberFormat="1" applyFont="1" applyFill="1" applyBorder="1"/>
    <xf numFmtId="187" fontId="21" fillId="3" borderId="0" xfId="25" applyNumberFormat="1" applyFont="1" applyFill="1" applyBorder="1">
      <alignment/>
      <protection/>
    </xf>
    <xf numFmtId="187" fontId="26" fillId="3" borderId="11" xfId="0" applyNumberFormat="1" applyFont="1" applyFill="1" applyBorder="1"/>
    <xf numFmtId="187" fontId="0" fillId="0" borderId="0" xfId="0" applyNumberFormat="1" applyFont="1" applyFill="1" applyBorder="1"/>
    <xf numFmtId="187" fontId="21" fillId="3" borderId="12" xfId="25" applyNumberFormat="1" applyFont="1" applyFill="1" applyBorder="1" applyAlignment="1">
      <alignment horizontal="left" indent="2"/>
      <protection/>
    </xf>
    <xf numFmtId="188" fontId="21" fillId="3" borderId="12" xfId="25" applyNumberFormat="1" applyFont="1" applyFill="1" applyBorder="1" applyAlignment="1">
      <alignment horizontal="left" indent="1"/>
      <protection/>
    </xf>
    <xf numFmtId="188" fontId="0" fillId="3" borderId="0" xfId="0" applyNumberFormat="1" applyFont="1" applyFill="1" applyBorder="1"/>
    <xf numFmtId="188" fontId="0" fillId="0" borderId="0" xfId="0" applyNumberFormat="1" applyFont="1" applyFill="1" applyBorder="1"/>
    <xf numFmtId="188" fontId="21" fillId="3" borderId="12" xfId="25" applyNumberFormat="1" applyFont="1" applyFill="1" applyBorder="1" applyAlignment="1">
      <alignment horizontal="left" indent="2"/>
      <protection/>
    </xf>
    <xf numFmtId="187" fontId="0" fillId="3" borderId="0" xfId="0" applyNumberFormat="1" applyFont="1" applyFill="1" applyBorder="1" applyAlignment="1">
      <alignment horizontal="left" indent="1"/>
    </xf>
    <xf numFmtId="187" fontId="0" fillId="4" borderId="0" xfId="0" applyNumberFormat="1" applyFont="1" applyFill="1" applyBorder="1" applyAlignment="1">
      <alignment horizontal="right"/>
    </xf>
    <xf numFmtId="187" fontId="0" fillId="3" borderId="0" xfId="0" applyNumberFormat="1" applyFont="1" applyFill="1" applyBorder="1" applyAlignment="1">
      <alignment horizontal="right"/>
    </xf>
    <xf numFmtId="187" fontId="26" fillId="4" borderId="0" xfId="0" applyNumberFormat="1" applyFont="1" applyFill="1" applyBorder="1"/>
    <xf numFmtId="188" fontId="0" fillId="3" borderId="0" xfId="0" applyNumberFormat="1" applyFont="1" applyFill="1" applyBorder="1" applyAlignment="1">
      <alignment horizontal="left" indent="1"/>
    </xf>
    <xf numFmtId="166" fontId="7" fillId="3" borderId="0" xfId="0" applyNumberFormat="1" applyFont="1" applyFill="1" applyBorder="1"/>
    <xf numFmtId="166" fontId="27" fillId="3" borderId="0" xfId="0" applyNumberFormat="1" applyFont="1" applyFill="1" applyBorder="1"/>
    <xf numFmtId="166" fontId="27" fillId="4" borderId="0" xfId="0" applyNumberFormat="1" applyFont="1" applyFill="1" applyBorder="1"/>
    <xf numFmtId="166" fontId="27" fillId="4" borderId="0" xfId="27" applyNumberFormat="1" applyFont="1" applyFill="1" applyBorder="1">
      <alignment/>
      <protection/>
    </xf>
    <xf numFmtId="166" fontId="27" fillId="3" borderId="0" xfId="27" applyNumberFormat="1" applyFont="1" applyFill="1" applyBorder="1">
      <alignment/>
      <protection/>
    </xf>
    <xf numFmtId="166" fontId="27" fillId="4" borderId="0" xfId="27" applyNumberFormat="1" applyFont="1" applyFill="1" applyBorder="1" applyAlignment="1">
      <alignment horizontal="center"/>
      <protection/>
    </xf>
    <xf numFmtId="166" fontId="27" fillId="3" borderId="0" xfId="27" applyNumberFormat="1" applyFont="1" applyFill="1" applyBorder="1" applyAlignment="1">
      <alignment horizontal="center"/>
      <protection/>
    </xf>
    <xf numFmtId="166" fontId="27" fillId="4" borderId="0" xfId="27" applyNumberFormat="1" applyFont="1" applyFill="1" applyBorder="1" applyAlignment="1">
      <alignment horizontal="right"/>
      <protection/>
    </xf>
    <xf numFmtId="166" fontId="27" fillId="3" borderId="0" xfId="27" applyNumberFormat="1" applyFont="1" applyFill="1" applyBorder="1" applyAlignment="1">
      <alignment horizontal="right"/>
      <protection/>
    </xf>
    <xf numFmtId="0" fontId="7" fillId="3" borderId="0" xfId="0" applyNumberFormat="1" applyFont="1" applyFill="1" applyBorder="1" applyAlignment="1">
      <alignment horizontal="center"/>
    </xf>
    <xf numFmtId="171" fontId="26" fillId="3" borderId="2" xfId="0" applyNumberFormat="1" applyFont="1" applyFill="1" applyBorder="1"/>
    <xf numFmtId="171" fontId="9" fillId="3" borderId="2" xfId="0" applyNumberFormat="1" applyFont="1" applyFill="1" applyBorder="1"/>
    <xf numFmtId="171" fontId="0" fillId="3" borderId="2" xfId="0" applyNumberFormat="1" applyFont="1" applyFill="1" applyBorder="1"/>
    <xf numFmtId="170" fontId="0" fillId="3" borderId="10" xfId="0" applyNumberFormat="1" applyFont="1" applyFill="1" applyBorder="1" applyAlignment="1">
      <alignment horizontal="left" indent="1"/>
    </xf>
    <xf numFmtId="170" fontId="0" fillId="3" borderId="10" xfId="0" applyNumberFormat="1" applyFont="1" applyFill="1" applyBorder="1"/>
    <xf numFmtId="170" fontId="0" fillId="3" borderId="7" xfId="0" applyNumberFormat="1" applyFont="1" applyFill="1" applyBorder="1" applyAlignment="1">
      <alignment horizontal="left" indent="1"/>
    </xf>
    <xf numFmtId="170" fontId="29" fillId="3" borderId="2" xfId="0" applyNumberFormat="1" applyFont="1" applyFill="1" applyBorder="1" applyAlignment="1">
      <alignment horizontal="left" indent="1"/>
    </xf>
    <xf numFmtId="168" fontId="7" fillId="3" borderId="12" xfId="0" applyNumberFormat="1" applyFont="1" applyFill="1" applyBorder="1"/>
    <xf numFmtId="168" fontId="0" fillId="3" borderId="12" xfId="0" applyNumberFormat="1" applyFont="1" applyFill="1" applyBorder="1"/>
    <xf numFmtId="168" fontId="21" fillId="3" borderId="17" xfId="25" applyNumberFormat="1" applyFont="1" applyFill="1" applyBorder="1" applyAlignment="1">
      <alignment horizontal="left" indent="1"/>
      <protection/>
    </xf>
    <xf numFmtId="168" fontId="26" fillId="3" borderId="17" xfId="0" applyNumberFormat="1" applyFont="1" applyFill="1" applyBorder="1"/>
    <xf numFmtId="168" fontId="21" fillId="3" borderId="17" xfId="25" applyNumberFormat="1" applyFont="1" applyFill="1" applyBorder="1">
      <alignment/>
      <protection/>
    </xf>
    <xf numFmtId="187" fontId="0" fillId="3" borderId="12" xfId="0" applyNumberFormat="1" applyFont="1" applyFill="1" applyBorder="1"/>
    <xf numFmtId="188" fontId="0" fillId="3" borderId="12" xfId="0" applyNumberFormat="1" applyFont="1" applyFill="1" applyBorder="1"/>
    <xf numFmtId="171" fontId="26" fillId="4" borderId="2" xfId="0" applyNumberFormat="1" applyFont="1" applyFill="1" applyBorder="1"/>
    <xf numFmtId="171" fontId="0" fillId="4" borderId="2" xfId="0" applyNumberFormat="1" applyFont="1" applyFill="1" applyBorder="1"/>
    <xf numFmtId="170" fontId="0" fillId="4" borderId="10" xfId="0" applyNumberFormat="1" applyFont="1" applyFill="1" applyBorder="1"/>
    <xf numFmtId="170" fontId="26" fillId="4" borderId="10" xfId="0" applyNumberFormat="1" applyFont="1" applyFill="1" applyBorder="1"/>
    <xf numFmtId="171" fontId="9" fillId="4" borderId="2" xfId="0" applyNumberFormat="1" applyFont="1" applyFill="1" applyBorder="1"/>
    <xf numFmtId="168" fontId="21" fillId="3" borderId="2" xfId="25" applyNumberFormat="1" applyFont="1" applyFill="1" applyBorder="1">
      <alignment/>
      <protection/>
    </xf>
    <xf numFmtId="168" fontId="26" fillId="3" borderId="4" xfId="0" applyNumberFormat="1" applyFont="1" applyFill="1" applyBorder="1"/>
    <xf numFmtId="168" fontId="26" fillId="3" borderId="1" xfId="0" applyNumberFormat="1" applyFont="1" applyFill="1" applyBorder="1"/>
    <xf numFmtId="168" fontId="21" fillId="3" borderId="5" xfId="25" applyNumberFormat="1" applyFont="1" applyFill="1" applyBorder="1" applyAlignment="1">
      <alignment horizontal="left" indent="1"/>
      <protection/>
    </xf>
    <xf numFmtId="168" fontId="21" fillId="3" borderId="3" xfId="25" applyNumberFormat="1" applyFont="1" applyFill="1" applyBorder="1" applyAlignment="1">
      <alignment horizontal="left" indent="1"/>
      <protection/>
    </xf>
    <xf numFmtId="168" fontId="32" fillId="3" borderId="18" xfId="25" applyNumberFormat="1" applyFont="1" applyFill="1" applyBorder="1">
      <alignment/>
      <protection/>
    </xf>
    <xf numFmtId="177" fontId="21" fillId="3" borderId="19" xfId="25" applyNumberFormat="1" applyFont="1" applyFill="1" applyBorder="1" applyAlignment="1">
      <alignment horizontal="left" indent="1"/>
      <protection/>
    </xf>
    <xf numFmtId="178" fontId="21" fillId="3" borderId="19" xfId="25" applyNumberFormat="1" applyFont="1" applyFill="1" applyBorder="1" applyAlignment="1">
      <alignment horizontal="left" indent="1"/>
      <protection/>
    </xf>
    <xf numFmtId="179" fontId="21" fillId="3" borderId="19" xfId="25" applyNumberFormat="1" applyFont="1" applyFill="1" applyBorder="1" applyAlignment="1">
      <alignment horizontal="left" indent="1"/>
      <protection/>
    </xf>
    <xf numFmtId="168" fontId="32" fillId="3" borderId="8" xfId="25" applyNumberFormat="1" applyFont="1" applyFill="1" applyBorder="1">
      <alignment/>
      <protection/>
    </xf>
    <xf numFmtId="171" fontId="27" fillId="3" borderId="7" xfId="27" applyNumberFormat="1" applyFont="1" applyFill="1" applyBorder="1" applyAlignment="1">
      <alignment horizontal="left"/>
      <protection/>
    </xf>
    <xf numFmtId="171" fontId="27" fillId="3" borderId="7" xfId="27" applyNumberFormat="1" applyFont="1" applyFill="1" applyBorder="1" applyAlignment="1">
      <alignment horizontal="left" indent="3"/>
      <protection/>
    </xf>
    <xf numFmtId="171" fontId="27" fillId="4" borderId="7" xfId="27" applyNumberFormat="1" applyFont="1" applyFill="1" applyBorder="1">
      <alignment/>
      <protection/>
    </xf>
    <xf numFmtId="171" fontId="27" fillId="3" borderId="7" xfId="27" applyNumberFormat="1" applyFont="1" applyFill="1" applyBorder="1">
      <alignment/>
      <protection/>
    </xf>
    <xf numFmtId="170" fontId="32" fillId="3" borderId="7" xfId="21" applyNumberFormat="1" applyFont="1" applyFill="1" applyBorder="1">
      <alignment/>
      <protection/>
    </xf>
    <xf numFmtId="170" fontId="27" fillId="4" borderId="7" xfId="27" applyNumberFormat="1" applyFont="1" applyFill="1" applyBorder="1" applyAlignment="1">
      <alignment horizontal="right"/>
      <protection/>
    </xf>
    <xf numFmtId="170" fontId="27" fillId="3" borderId="7" xfId="27" applyNumberFormat="1" applyFont="1" applyFill="1" applyBorder="1" applyAlignment="1">
      <alignment horizontal="right"/>
      <protection/>
    </xf>
    <xf numFmtId="170" fontId="0" fillId="4" borderId="0" xfId="0" applyNumberFormat="1" applyFont="1" applyFill="1" applyBorder="1" applyAlignment="1">
      <alignment horizontal="right"/>
    </xf>
    <xf numFmtId="171" fontId="0" fillId="4" borderId="0" xfId="0" applyNumberFormat="1" applyFont="1" applyFill="1" applyBorder="1" applyAlignment="1">
      <alignment horizontal="right"/>
    </xf>
    <xf numFmtId="171" fontId="0" fillId="3" borderId="0" xfId="0" applyNumberFormat="1" applyFont="1" applyFill="1" applyBorder="1" applyAlignment="1">
      <alignment horizontal="right"/>
    </xf>
    <xf numFmtId="171" fontId="9" fillId="3" borderId="0" xfId="0" applyNumberFormat="1" applyFont="1" applyFill="1" applyBorder="1" applyAlignment="1">
      <alignment horizontal="right"/>
    </xf>
    <xf numFmtId="171" fontId="9" fillId="4" borderId="0" xfId="0" applyNumberFormat="1" applyFont="1" applyFill="1" applyBorder="1" applyAlignment="1">
      <alignment horizontal="right"/>
    </xf>
    <xf numFmtId="171" fontId="26" fillId="4" borderId="0" xfId="0" applyNumberFormat="1" applyFont="1" applyFill="1" applyBorder="1" applyAlignment="1">
      <alignment horizontal="right"/>
    </xf>
    <xf numFmtId="171" fontId="26" fillId="3" borderId="2" xfId="0" applyNumberFormat="1" applyFont="1" applyFill="1" applyBorder="1" applyAlignment="1">
      <alignment horizontal="right"/>
    </xf>
    <xf numFmtId="170" fontId="0" fillId="3" borderId="0" xfId="0" applyNumberFormat="1" applyFont="1" applyFill="1" applyBorder="1" applyAlignment="1">
      <alignment horizontal="right"/>
    </xf>
    <xf numFmtId="170" fontId="0" fillId="4" borderId="2" xfId="0" applyNumberFormat="1" applyFont="1" applyFill="1" applyBorder="1" applyAlignment="1">
      <alignment horizontal="right"/>
    </xf>
    <xf numFmtId="170" fontId="0" fillId="3" borderId="2" xfId="0" applyNumberFormat="1" applyFont="1" applyFill="1" applyBorder="1" applyAlignment="1">
      <alignment horizontal="right"/>
    </xf>
    <xf numFmtId="170" fontId="7" fillId="3" borderId="0" xfId="0" applyNumberFormat="1" applyFont="1" applyFill="1" applyBorder="1" applyAlignment="1">
      <alignment horizontal="left" indent="1"/>
    </xf>
    <xf numFmtId="170" fontId="27" fillId="3" borderId="0" xfId="0" applyNumberFormat="1" applyFont="1" applyFill="1" applyBorder="1" applyAlignment="1">
      <alignment horizontal="left" indent="1"/>
    </xf>
    <xf numFmtId="170" fontId="27" fillId="3" borderId="0" xfId="0" applyNumberFormat="1" applyFont="1" applyFill="1" applyBorder="1" applyAlignment="1">
      <alignment horizontal="left" indent="4"/>
    </xf>
    <xf numFmtId="171" fontId="7" fillId="3" borderId="0" xfId="0" applyNumberFormat="1" applyFont="1" applyFill="1" applyBorder="1" applyAlignment="1">
      <alignment horizontal="left" indent="1"/>
    </xf>
    <xf numFmtId="171" fontId="27" fillId="3" borderId="0" xfId="0" applyNumberFormat="1" applyFont="1" applyFill="1" applyBorder="1"/>
    <xf numFmtId="170" fontId="21" fillId="3" borderId="0" xfId="0" applyNumberFormat="1" applyFont="1" applyFill="1" applyBorder="1"/>
    <xf numFmtId="170" fontId="26" fillId="3" borderId="2" xfId="0" applyNumberFormat="1" applyFont="1" applyFill="1" applyBorder="1" applyAlignment="1">
      <alignment horizontal="left" indent="3"/>
    </xf>
    <xf numFmtId="0" fontId="4" fillId="3" borderId="20" xfId="23" applyFill="1" applyBorder="1">
      <alignment/>
      <protection/>
    </xf>
    <xf numFmtId="168" fontId="3" fillId="3" borderId="6" xfId="25" applyNumberFormat="1" applyFont="1" applyFill="1" applyBorder="1" applyAlignment="1">
      <alignment horizontal="left"/>
      <protection/>
    </xf>
    <xf numFmtId="168" fontId="2" fillId="3" borderId="4" xfId="25" applyNumberFormat="1" applyFont="1" applyFill="1" applyBorder="1" applyAlignment="1">
      <alignment horizontal="left" indent="1"/>
      <protection/>
    </xf>
    <xf numFmtId="0" fontId="4" fillId="3" borderId="21" xfId="23" applyFill="1" applyBorder="1">
      <alignment/>
      <protection/>
    </xf>
    <xf numFmtId="170" fontId="41" fillId="3" borderId="7" xfId="31" applyNumberFormat="1" applyFont="1" applyFill="1" applyBorder="1" applyAlignment="1">
      <alignment horizontal="left" indent="2"/>
      <protection/>
    </xf>
    <xf numFmtId="170" fontId="41" fillId="3" borderId="0" xfId="30" applyNumberFormat="1" applyFont="1" applyFill="1" applyBorder="1" applyProtection="1">
      <alignment/>
      <protection locked="0"/>
    </xf>
    <xf numFmtId="170" fontId="41" fillId="3" borderId="0" xfId="31" applyNumberFormat="1" applyFont="1" applyFill="1" applyBorder="1" applyAlignment="1" applyProtection="1">
      <alignment horizontal="left" indent="2"/>
      <protection locked="0"/>
    </xf>
    <xf numFmtId="170" fontId="41" fillId="3" borderId="0" xfId="31" applyNumberFormat="1" applyFont="1" applyFill="1" applyBorder="1" applyProtection="1">
      <alignment/>
      <protection locked="0"/>
    </xf>
    <xf numFmtId="170" fontId="0" fillId="3" borderId="10" xfId="0" applyNumberFormat="1" applyFont="1" applyFill="1" applyBorder="1" applyAlignment="1">
      <alignment horizontal="left" indent="2"/>
    </xf>
    <xf numFmtId="171" fontId="0" fillId="4" borderId="10" xfId="0" applyNumberFormat="1" applyFont="1" applyFill="1" applyBorder="1"/>
    <xf numFmtId="171" fontId="0" fillId="3" borderId="10" xfId="0" applyNumberFormat="1" applyFont="1" applyFill="1" applyBorder="1"/>
    <xf numFmtId="171" fontId="7" fillId="3" borderId="0" xfId="0" applyNumberFormat="1" applyFont="1" applyFill="1" applyAlignment="1">
      <alignment horizontal="left"/>
    </xf>
    <xf numFmtId="170" fontId="26" fillId="3" borderId="0" xfId="0" applyNumberFormat="1" applyFont="1" applyFill="1" applyBorder="1" applyAlignment="1">
      <alignment horizontal="left" indent="2"/>
    </xf>
    <xf numFmtId="191" fontId="7" fillId="3" borderId="0" xfId="0" applyNumberFormat="1" applyFont="1" applyFill="1" applyBorder="1" applyAlignment="1">
      <alignment horizontal="left"/>
    </xf>
    <xf numFmtId="191" fontId="7" fillId="4" borderId="0" xfId="0" applyNumberFormat="1" applyFont="1" applyFill="1" applyBorder="1"/>
    <xf numFmtId="191" fontId="7" fillId="3" borderId="0" xfId="0" applyNumberFormat="1" applyFont="1" applyFill="1" applyBorder="1"/>
    <xf numFmtId="191" fontId="7" fillId="0" borderId="0" xfId="0" applyNumberFormat="1" applyFont="1" applyFill="1" applyBorder="1"/>
    <xf numFmtId="168" fontId="0" fillId="3" borderId="0" xfId="0" applyNumberFormat="1" applyFill="1"/>
    <xf numFmtId="171" fontId="19" fillId="4" borderId="0" xfId="0" applyNumberFormat="1" applyFont="1" applyFill="1" applyBorder="1" applyAlignment="1">
      <alignment horizontal="right"/>
    </xf>
    <xf numFmtId="170" fontId="9" fillId="3" borderId="2" xfId="0" applyNumberFormat="1" applyFont="1" applyFill="1" applyBorder="1" applyAlignment="1">
      <alignment horizontal="right"/>
    </xf>
    <xf numFmtId="170" fontId="9" fillId="4" borderId="2" xfId="0" applyNumberFormat="1" applyFont="1" applyFill="1" applyBorder="1" applyAlignment="1">
      <alignment horizontal="right"/>
    </xf>
    <xf numFmtId="170" fontId="7" fillId="4" borderId="0" xfId="0" applyNumberFormat="1" applyFont="1" applyFill="1" applyBorder="1" applyAlignment="1">
      <alignment horizontal="right"/>
    </xf>
    <xf numFmtId="170" fontId="7" fillId="3" borderId="0" xfId="0" applyNumberFormat="1" applyFont="1" applyFill="1" applyBorder="1" applyAlignment="1">
      <alignment horizontal="right"/>
    </xf>
    <xf numFmtId="166" fontId="3" fillId="3" borderId="0" xfId="16" applyNumberFormat="1" applyFont="1" applyFill="1" applyBorder="1">
      <alignment/>
      <protection/>
    </xf>
    <xf numFmtId="170" fontId="0" fillId="4" borderId="7" xfId="0" applyNumberFormat="1" applyFont="1" applyFill="1" applyBorder="1" applyAlignment="1">
      <alignment horizontal="right"/>
    </xf>
    <xf numFmtId="166" fontId="30" fillId="3" borderId="0" xfId="0" applyNumberFormat="1" applyFont="1" applyFill="1" applyBorder="1" applyAlignment="1">
      <alignment horizontal="left" indent="1"/>
    </xf>
    <xf numFmtId="166" fontId="24" fillId="3" borderId="0" xfId="0" applyNumberFormat="1" applyFont="1" applyFill="1" applyBorder="1" applyAlignment="1">
      <alignment horizontal="left" indent="3"/>
    </xf>
    <xf numFmtId="166" fontId="24" fillId="4" borderId="0" xfId="0" applyNumberFormat="1" applyFont="1" applyFill="1" applyBorder="1"/>
    <xf numFmtId="166" fontId="24" fillId="3" borderId="0" xfId="0" applyNumberFormat="1" applyFont="1" applyFill="1" applyBorder="1"/>
    <xf numFmtId="166" fontId="30" fillId="3" borderId="0" xfId="0" applyNumberFormat="1" applyFont="1" applyFill="1" applyBorder="1"/>
    <xf numFmtId="166" fontId="24" fillId="4" borderId="0" xfId="0" applyNumberFormat="1" applyFont="1" applyFill="1" applyBorder="1" applyAlignment="1">
      <alignment horizontal="right"/>
    </xf>
    <xf numFmtId="170" fontId="0" fillId="0" borderId="0" xfId="27" applyNumberFormat="1" applyFont="1" applyFill="1" applyBorder="1">
      <alignment/>
      <protection/>
    </xf>
    <xf numFmtId="168" fontId="23" fillId="5" borderId="0" xfId="0" applyNumberFormat="1" applyFont="1" applyFill="1"/>
    <xf numFmtId="170" fontId="0" fillId="3" borderId="0" xfId="0" applyNumberFormat="1" applyFill="1" applyAlignment="1">
      <alignment horizontal="left" indent="2"/>
    </xf>
    <xf numFmtId="170" fontId="0" fillId="3" borderId="2" xfId="0" applyNumberFormat="1" applyFill="1" applyBorder="1" applyAlignment="1">
      <alignment horizontal="left" indent="2"/>
    </xf>
    <xf numFmtId="170" fontId="0" fillId="3" borderId="0" xfId="0" applyNumberFormat="1" applyFill="1" applyAlignment="1">
      <alignment horizontal="left" indent="1"/>
    </xf>
    <xf numFmtId="170" fontId="0" fillId="3" borderId="2" xfId="0" applyNumberFormat="1" applyFill="1" applyBorder="1" applyAlignment="1">
      <alignment horizontal="left" indent="1"/>
    </xf>
    <xf numFmtId="170" fontId="7" fillId="3" borderId="0" xfId="0" applyNumberFormat="1" applyFont="1" applyFill="1" applyAlignment="1">
      <alignment horizontal="left"/>
    </xf>
    <xf numFmtId="170" fontId="0" fillId="3" borderId="0" xfId="0" applyNumberFormat="1" applyFill="1" applyAlignment="1">
      <alignment horizontal="left"/>
    </xf>
    <xf numFmtId="171" fontId="7" fillId="3" borderId="0" xfId="0" applyNumberFormat="1" applyFont="1" applyFill="1"/>
    <xf numFmtId="166" fontId="3" fillId="3" borderId="0" xfId="16" applyNumberFormat="1" applyFont="1" applyFill="1">
      <alignment/>
      <protection/>
    </xf>
    <xf numFmtId="166" fontId="13" fillId="3" borderId="0" xfId="0" applyNumberFormat="1" applyFont="1" applyFill="1" applyBorder="1"/>
    <xf numFmtId="166" fontId="13" fillId="4" borderId="0" xfId="0" applyNumberFormat="1" applyFont="1" applyFill="1" applyBorder="1"/>
    <xf numFmtId="170" fontId="23" fillId="5" borderId="0" xfId="27" applyNumberFormat="1" applyFont="1" applyFill="1" applyBorder="1">
      <alignment/>
      <protection/>
    </xf>
    <xf numFmtId="170" fontId="23" fillId="5" borderId="0" xfId="0" applyNumberFormat="1" applyFont="1" applyFill="1" applyBorder="1"/>
    <xf numFmtId="166" fontId="27" fillId="3" borderId="0" xfId="27" applyNumberFormat="1" applyFont="1" applyFill="1" applyBorder="1" applyAlignment="1">
      <alignment horizontal="left" indent="1"/>
      <protection/>
    </xf>
    <xf numFmtId="166" fontId="13" fillId="3" borderId="0" xfId="27" applyNumberFormat="1" applyFont="1" applyFill="1" applyBorder="1" applyAlignment="1">
      <alignment horizontal="left"/>
      <protection/>
    </xf>
    <xf numFmtId="166" fontId="13" fillId="3" borderId="0" xfId="0" applyNumberFormat="1" applyFont="1" applyFill="1" applyBorder="1" applyAlignment="1">
      <alignment horizontal="left"/>
    </xf>
    <xf numFmtId="166" fontId="7" fillId="3" borderId="0" xfId="0" applyNumberFormat="1" applyFont="1" applyFill="1" applyBorder="1" applyAlignment="1">
      <alignment horizontal="right"/>
    </xf>
    <xf numFmtId="166" fontId="7" fillId="4" borderId="0" xfId="0" applyNumberFormat="1" applyFont="1" applyFill="1" applyBorder="1" applyAlignment="1">
      <alignment horizontal="right"/>
    </xf>
    <xf numFmtId="192" fontId="21" fillId="3" borderId="22" xfId="25" applyNumberFormat="1" applyFont="1" applyFill="1" applyBorder="1" applyAlignment="1">
      <alignment horizontal="left" indent="1"/>
      <protection/>
    </xf>
    <xf numFmtId="0" fontId="27" fillId="3" borderId="6" xfId="0" applyNumberFormat="1" applyFont="1" applyFill="1" applyBorder="1"/>
    <xf numFmtId="170" fontId="21" fillId="3" borderId="4" xfId="25" applyNumberFormat="1" applyFont="1" applyFill="1" applyBorder="1">
      <alignment/>
      <protection/>
    </xf>
    <xf numFmtId="170" fontId="21" fillId="3" borderId="1" xfId="25" applyNumberFormat="1" applyFont="1" applyFill="1" applyBorder="1">
      <alignment/>
      <protection/>
    </xf>
    <xf numFmtId="170" fontId="21" fillId="2" borderId="23" xfId="22" applyNumberFormat="1" applyFont="1" applyFill="1" applyBorder="1" applyAlignment="1">
      <alignment horizontal="right"/>
      <protection/>
    </xf>
    <xf numFmtId="168" fontId="26" fillId="3" borderId="24" xfId="0" applyNumberFormat="1" applyFont="1" applyFill="1" applyBorder="1"/>
    <xf numFmtId="168" fontId="26" fillId="3" borderId="25" xfId="0" applyNumberFormat="1" applyFont="1" applyFill="1" applyBorder="1"/>
    <xf numFmtId="168" fontId="26" fillId="3" borderId="26" xfId="0" applyNumberFormat="1" applyFont="1" applyFill="1" applyBorder="1"/>
    <xf numFmtId="187" fontId="26" fillId="3" borderId="23" xfId="0" applyNumberFormat="1" applyFont="1" applyFill="1" applyBorder="1"/>
    <xf numFmtId="168" fontId="33" fillId="5" borderId="23" xfId="27" applyNumberFormat="1" applyFont="1" applyFill="1" applyBorder="1">
      <alignment/>
      <protection/>
    </xf>
    <xf numFmtId="171" fontId="34" fillId="5" borderId="23" xfId="27" applyNumberFormat="1" applyFont="1" applyFill="1" applyBorder="1">
      <alignment/>
      <protection/>
    </xf>
    <xf numFmtId="168" fontId="7" fillId="3" borderId="0" xfId="0" applyNumberFormat="1" applyFont="1" applyFill="1" applyBorder="1"/>
    <xf numFmtId="168" fontId="28" fillId="3" borderId="0" xfId="0" applyNumberFormat="1" applyFont="1" applyFill="1" applyBorder="1"/>
    <xf numFmtId="180" fontId="2" fillId="3" borderId="0" xfId="0" applyNumberFormat="1" applyFont="1" applyFill="1" applyBorder="1" applyAlignment="1">
      <alignment horizontal="left"/>
    </xf>
    <xf numFmtId="185" fontId="3" fillId="3" borderId="0" xfId="0" applyNumberFormat="1" applyFont="1" applyFill="1" applyBorder="1" applyAlignment="1">
      <alignment horizontal="left"/>
    </xf>
    <xf numFmtId="166" fontId="6" fillId="3" borderId="0" xfId="16" applyNumberFormat="1" applyFont="1" applyFill="1" applyBorder="1" applyAlignment="1">
      <alignment horizontal="center"/>
      <protection/>
    </xf>
    <xf numFmtId="168" fontId="7" fillId="3" borderId="0" xfId="0" applyNumberFormat="1" applyFont="1" applyFill="1" applyBorder="1" applyAlignment="1">
      <alignment horizontal="center"/>
    </xf>
    <xf numFmtId="186" fontId="3" fillId="3" borderId="0" xfId="0" applyNumberFormat="1" applyFont="1" applyFill="1" applyBorder="1"/>
    <xf numFmtId="170" fontId="26" fillId="3" borderId="23" xfId="0" applyNumberFormat="1" applyFont="1" applyFill="1" applyBorder="1"/>
    <xf numFmtId="170" fontId="27" fillId="3" borderId="23" xfId="0" applyNumberFormat="1" applyFont="1" applyFill="1" applyBorder="1"/>
    <xf numFmtId="170" fontId="26" fillId="3" borderId="10" xfId="0" applyNumberFormat="1" applyFont="1" applyFill="1" applyBorder="1"/>
    <xf numFmtId="170" fontId="26" fillId="3" borderId="0" xfId="0" applyNumberFormat="1" applyFont="1" applyFill="1" applyBorder="1" applyAlignment="1">
      <alignment horizontal="right"/>
    </xf>
    <xf numFmtId="170" fontId="26" fillId="3" borderId="2" xfId="0" applyNumberFormat="1" applyFont="1" applyFill="1" applyBorder="1" applyAlignment="1">
      <alignment horizontal="right"/>
    </xf>
    <xf numFmtId="170" fontId="27" fillId="3" borderId="0" xfId="0" applyNumberFormat="1" applyFont="1" applyFill="1" applyBorder="1" applyAlignment="1">
      <alignment horizontal="right"/>
    </xf>
    <xf numFmtId="174" fontId="26" fillId="3" borderId="0" xfId="0" applyNumberFormat="1" applyFont="1" applyFill="1" applyBorder="1" applyAlignment="1">
      <alignment horizontal="right"/>
    </xf>
    <xf numFmtId="172" fontId="21" fillId="3" borderId="0" xfId="0" applyNumberFormat="1" applyFont="1" applyFill="1" applyBorder="1" applyAlignment="1">
      <alignment horizontal="center"/>
    </xf>
    <xf numFmtId="0" fontId="26" fillId="3" borderId="0" xfId="0" applyNumberFormat="1" applyFont="1" applyFill="1" applyBorder="1"/>
    <xf numFmtId="0" fontId="26" fillId="3" borderId="23" xfId="0" applyNumberFormat="1" applyFont="1" applyFill="1" applyBorder="1"/>
    <xf numFmtId="0" fontId="32" fillId="3" borderId="0" xfId="16" applyNumberFormat="1" applyFont="1" applyFill="1" applyBorder="1" applyAlignment="1">
      <alignment horizontal="center"/>
      <protection/>
    </xf>
    <xf numFmtId="171" fontId="21" fillId="3" borderId="0" xfId="16" applyNumberFormat="1" applyFont="1" applyFill="1" applyBorder="1">
      <alignment/>
      <protection/>
    </xf>
    <xf numFmtId="171" fontId="21" fillId="3" borderId="2" xfId="16" applyNumberFormat="1" applyFont="1" applyFill="1" applyBorder="1">
      <alignment/>
      <protection/>
    </xf>
    <xf numFmtId="171" fontId="32" fillId="3" borderId="0" xfId="16" applyNumberFormat="1" applyFont="1" applyFill="1" applyBorder="1">
      <alignment/>
      <protection/>
    </xf>
    <xf numFmtId="171" fontId="32" fillId="3" borderId="7" xfId="16" applyNumberFormat="1" applyFont="1" applyFill="1" applyBorder="1">
      <alignment/>
      <protection/>
    </xf>
    <xf numFmtId="171" fontId="27" fillId="3" borderId="0" xfId="0" applyNumberFormat="1" applyFont="1" applyFill="1" applyBorder="1" applyAlignment="1">
      <alignment horizontal="left"/>
    </xf>
    <xf numFmtId="170" fontId="27" fillId="3" borderId="0" xfId="0" applyNumberFormat="1" applyFont="1" applyFill="1" applyBorder="1" applyAlignment="1">
      <alignment horizontal="left"/>
    </xf>
    <xf numFmtId="170" fontId="26" fillId="3" borderId="7" xfId="0" applyNumberFormat="1" applyFont="1" applyFill="1" applyBorder="1" applyAlignment="1">
      <alignment horizontal="left" indent="4"/>
    </xf>
    <xf numFmtId="170" fontId="30" fillId="3" borderId="0" xfId="0" applyNumberFormat="1" applyFont="1" applyFill="1" applyBorder="1" applyAlignment="1">
      <alignment horizontal="left" indent="2"/>
    </xf>
    <xf numFmtId="170" fontId="27" fillId="3" borderId="0" xfId="0" applyNumberFormat="1" applyFont="1" applyFill="1" applyBorder="1" applyAlignment="1">
      <alignment horizontal="left" indent="3"/>
    </xf>
    <xf numFmtId="168" fontId="26" fillId="3" borderId="0" xfId="0" applyNumberFormat="1" applyFont="1" applyFill="1" applyBorder="1" applyAlignment="1">
      <alignment horizontal="left"/>
    </xf>
    <xf numFmtId="168" fontId="26" fillId="3" borderId="0" xfId="0" applyNumberFormat="1" applyFont="1" applyFill="1" applyBorder="1" applyAlignment="1">
      <alignment horizontal="left" indent="4"/>
    </xf>
    <xf numFmtId="171" fontId="26" fillId="3" borderId="2" xfId="0" applyNumberFormat="1" applyFont="1" applyFill="1" applyBorder="1" applyAlignment="1">
      <alignment horizontal="left" indent="3"/>
    </xf>
    <xf numFmtId="171" fontId="27" fillId="3" borderId="0" xfId="0" applyNumberFormat="1" applyFont="1" applyFill="1" applyBorder="1" applyAlignment="1">
      <alignment horizontal="left" indent="2"/>
    </xf>
    <xf numFmtId="171" fontId="27" fillId="3" borderId="0" xfId="0" applyNumberFormat="1" applyFont="1" applyFill="1" applyBorder="1" applyAlignment="1">
      <alignment horizontal="left" indent="3"/>
    </xf>
    <xf numFmtId="171" fontId="26" fillId="3" borderId="10" xfId="0" applyNumberFormat="1" applyFont="1" applyFill="1" applyBorder="1" applyAlignment="1">
      <alignment horizontal="left" indent="3"/>
    </xf>
    <xf numFmtId="171" fontId="27" fillId="3" borderId="0" xfId="0" applyNumberFormat="1" applyFont="1" applyFill="1" applyBorder="1" applyAlignment="1">
      <alignment horizontal="left" indent="1"/>
    </xf>
    <xf numFmtId="168" fontId="26" fillId="3" borderId="0" xfId="0" applyNumberFormat="1" applyFont="1" applyFill="1" applyBorder="1" applyAlignment="1">
      <alignment horizontal="left" indent="1"/>
    </xf>
    <xf numFmtId="168" fontId="27" fillId="3" borderId="0" xfId="0" applyNumberFormat="1" applyFont="1" applyFill="1" applyBorder="1" applyAlignment="1">
      <alignment horizontal="left"/>
    </xf>
    <xf numFmtId="168" fontId="27" fillId="3" borderId="0" xfId="0" applyNumberFormat="1" applyFont="1" applyFill="1" applyBorder="1" applyAlignment="1">
      <alignment horizontal="left" indent="4"/>
    </xf>
    <xf numFmtId="171" fontId="26" fillId="3" borderId="0" xfId="0" applyNumberFormat="1" applyFont="1" applyFill="1" applyBorder="1" applyAlignment="1">
      <alignment horizontal="left" indent="4"/>
    </xf>
    <xf numFmtId="171" fontId="26" fillId="3" borderId="2" xfId="0" applyNumberFormat="1" applyFont="1" applyFill="1" applyBorder="1" applyAlignment="1">
      <alignment horizontal="left" indent="4"/>
    </xf>
    <xf numFmtId="171" fontId="27" fillId="3" borderId="0" xfId="0" applyNumberFormat="1" applyFont="1" applyFill="1" applyBorder="1" applyAlignment="1">
      <alignment horizontal="left" indent="4"/>
    </xf>
    <xf numFmtId="170" fontId="27" fillId="3" borderId="2" xfId="0" applyNumberFormat="1" applyFont="1" applyFill="1" applyBorder="1" applyAlignment="1">
      <alignment horizontal="left" indent="4"/>
    </xf>
    <xf numFmtId="170" fontId="27" fillId="3" borderId="2" xfId="0" applyNumberFormat="1" applyFont="1" applyFill="1" applyBorder="1"/>
    <xf numFmtId="191" fontId="27" fillId="3" borderId="0" xfId="0" applyNumberFormat="1" applyFont="1" applyFill="1" applyBorder="1" applyAlignment="1">
      <alignment horizontal="left" indent="4"/>
    </xf>
    <xf numFmtId="191" fontId="27" fillId="3" borderId="0" xfId="0" applyNumberFormat="1" applyFont="1" applyFill="1" applyBorder="1"/>
    <xf numFmtId="171" fontId="26" fillId="3" borderId="0" xfId="0" applyNumberFormat="1" applyFont="1" applyFill="1" applyBorder="1" applyAlignment="1">
      <alignment horizontal="left" indent="1"/>
    </xf>
    <xf numFmtId="170" fontId="44" fillId="3" borderId="0" xfId="31" applyNumberFormat="1" applyFont="1" applyFill="1" applyBorder="1" applyAlignment="1">
      <alignment horizontal="left" indent="2"/>
      <protection/>
    </xf>
    <xf numFmtId="170" fontId="44" fillId="3" borderId="0" xfId="30" applyNumberFormat="1" applyFont="1" applyFill="1" applyBorder="1" applyProtection="1">
      <alignment/>
      <protection locked="0"/>
    </xf>
    <xf numFmtId="170" fontId="44" fillId="3" borderId="2" xfId="30" applyNumberFormat="1" applyFont="1" applyFill="1" applyBorder="1" applyProtection="1">
      <alignment/>
      <protection locked="0"/>
    </xf>
    <xf numFmtId="170" fontId="26" fillId="3" borderId="10" xfId="0" applyNumberFormat="1" applyFont="1" applyFill="1" applyBorder="1" applyAlignment="1">
      <alignment horizontal="left" indent="4"/>
    </xf>
    <xf numFmtId="170" fontId="27" fillId="3" borderId="7" xfId="0" applyNumberFormat="1" applyFont="1" applyFill="1" applyBorder="1" applyAlignment="1">
      <alignment horizontal="left" indent="3"/>
    </xf>
    <xf numFmtId="170" fontId="27" fillId="3" borderId="10" xfId="0" applyNumberFormat="1" applyFont="1" applyFill="1" applyBorder="1" applyAlignment="1">
      <alignment horizontal="left" indent="3"/>
    </xf>
    <xf numFmtId="168" fontId="26" fillId="3" borderId="0" xfId="0" applyNumberFormat="1" applyFont="1" applyFill="1" applyBorder="1" applyAlignment="1">
      <alignment horizontal="left" indent="3"/>
    </xf>
    <xf numFmtId="168" fontId="27" fillId="3" borderId="0" xfId="0" applyNumberFormat="1" applyFont="1" applyFill="1" applyBorder="1" applyAlignment="1">
      <alignment horizontal="left" indent="3"/>
    </xf>
    <xf numFmtId="170" fontId="26" fillId="3" borderId="7" xfId="0" applyNumberFormat="1" applyFont="1" applyFill="1" applyBorder="1" applyAlignment="1">
      <alignment horizontal="left" indent="3"/>
    </xf>
    <xf numFmtId="170" fontId="26" fillId="3" borderId="10" xfId="0" applyNumberFormat="1" applyFont="1" applyFill="1" applyBorder="1" applyAlignment="1">
      <alignment horizontal="left" indent="3"/>
    </xf>
    <xf numFmtId="168" fontId="30" fillId="3" borderId="7" xfId="0" applyNumberFormat="1" applyFont="1" applyFill="1" applyBorder="1" applyAlignment="1">
      <alignment horizontal="left" indent="1"/>
    </xf>
    <xf numFmtId="168" fontId="24" fillId="3" borderId="7" xfId="0" applyNumberFormat="1" applyFont="1" applyFill="1" applyBorder="1" applyAlignment="1">
      <alignment horizontal="left" indent="3"/>
    </xf>
    <xf numFmtId="166" fontId="27" fillId="3" borderId="0" xfId="0" applyNumberFormat="1" applyFont="1" applyFill="1" applyBorder="1" applyAlignment="1">
      <alignment horizontal="left" indent="3"/>
    </xf>
    <xf numFmtId="176" fontId="27" fillId="3" borderId="0" xfId="0" applyNumberFormat="1" applyFont="1" applyFill="1" applyBorder="1" applyAlignment="1">
      <alignment horizontal="left" indent="3"/>
    </xf>
    <xf numFmtId="173" fontId="32" fillId="3" borderId="0" xfId="0" applyNumberFormat="1" applyFont="1" applyFill="1" applyBorder="1" applyAlignment="1">
      <alignment horizontal="left"/>
    </xf>
    <xf numFmtId="173" fontId="27" fillId="3" borderId="0" xfId="0" applyNumberFormat="1" applyFont="1" applyFill="1" applyBorder="1" applyAlignment="1">
      <alignment horizontal="left" indent="3"/>
    </xf>
    <xf numFmtId="173" fontId="27" fillId="3" borderId="0" xfId="16" applyNumberFormat="1" applyFont="1" applyFill="1" applyBorder="1">
      <alignment/>
      <protection/>
    </xf>
    <xf numFmtId="171" fontId="24" fillId="3" borderId="0" xfId="0" applyNumberFormat="1" applyFont="1" applyFill="1" applyBorder="1" applyAlignment="1">
      <alignment horizontal="left" indent="3"/>
    </xf>
    <xf numFmtId="171" fontId="24" fillId="3" borderId="0" xfId="0" applyNumberFormat="1" applyFont="1" applyFill="1" applyBorder="1" applyAlignment="1">
      <alignment horizontal="left"/>
    </xf>
    <xf numFmtId="181" fontId="27" fillId="3" borderId="0" xfId="0" applyNumberFormat="1" applyFont="1" applyFill="1" applyBorder="1" applyAlignment="1">
      <alignment horizontal="left" indent="3"/>
    </xf>
    <xf numFmtId="0" fontId="26" fillId="3" borderId="0" xfId="0" applyNumberFormat="1" applyFont="1" applyFill="1" applyBorder="1" applyAlignment="1">
      <alignment horizontal="left" indent="3"/>
    </xf>
    <xf numFmtId="170" fontId="27" fillId="3" borderId="0" xfId="0" applyNumberFormat="1" applyFont="1" applyFill="1" applyAlignment="1">
      <alignment horizontal="left"/>
    </xf>
    <xf numFmtId="174" fontId="21" fillId="3" borderId="0" xfId="0" applyNumberFormat="1" applyFont="1" applyFill="1" applyBorder="1"/>
    <xf numFmtId="174" fontId="26" fillId="3" borderId="0" xfId="0" applyNumberFormat="1" applyFont="1" applyFill="1" applyBorder="1" applyAlignment="1">
      <alignment horizontal="left" indent="3"/>
    </xf>
    <xf numFmtId="174" fontId="26" fillId="3" borderId="0" xfId="0" applyNumberFormat="1" applyFont="1" applyFill="1" applyBorder="1"/>
    <xf numFmtId="187" fontId="21" fillId="3" borderId="0" xfId="16" applyNumberFormat="1" applyFont="1" applyFill="1" applyBorder="1">
      <alignment/>
      <protection/>
    </xf>
    <xf numFmtId="188" fontId="21" fillId="3" borderId="0" xfId="16" applyNumberFormat="1" applyFont="1" applyFill="1" applyBorder="1">
      <alignment/>
      <protection/>
    </xf>
    <xf numFmtId="168" fontId="26" fillId="3" borderId="0" xfId="0" applyNumberFormat="1" applyFont="1" applyFill="1" applyBorder="1" applyAlignment="1">
      <alignment horizontal="left" indent="2"/>
    </xf>
    <xf numFmtId="168" fontId="26" fillId="3" borderId="0" xfId="0" applyNumberFormat="1" applyFont="1" applyFill="1" applyBorder="1" applyAlignment="1">
      <alignment horizontal="right"/>
    </xf>
    <xf numFmtId="168" fontId="21" fillId="3" borderId="14" xfId="25" applyNumberFormat="1" applyFont="1" applyFill="1" applyBorder="1" applyAlignment="1">
      <alignment horizontal="left" indent="1"/>
      <protection/>
    </xf>
    <xf numFmtId="170" fontId="27" fillId="3" borderId="12" xfId="0" applyNumberFormat="1" applyFont="1" applyFill="1" applyBorder="1"/>
    <xf numFmtId="170" fontId="32" fillId="3" borderId="0" xfId="25" applyNumberFormat="1" applyFont="1" applyFill="1" applyBorder="1">
      <alignment/>
      <protection/>
    </xf>
    <xf numFmtId="170" fontId="26" fillId="3" borderId="12" xfId="0" applyNumberFormat="1" applyFont="1" applyFill="1" applyBorder="1"/>
    <xf numFmtId="170" fontId="21" fillId="3" borderId="0" xfId="25" applyNumberFormat="1" applyFont="1" applyFill="1" applyBorder="1">
      <alignment/>
      <protection/>
    </xf>
    <xf numFmtId="170" fontId="26" fillId="3" borderId="14" xfId="0" applyNumberFormat="1" applyFont="1" applyFill="1" applyBorder="1"/>
    <xf numFmtId="0" fontId="27" fillId="3" borderId="0" xfId="0" applyNumberFormat="1" applyFont="1" applyFill="1" applyBorder="1"/>
    <xf numFmtId="0" fontId="27" fillId="3" borderId="23" xfId="0" applyNumberFormat="1" applyFont="1" applyFill="1" applyBorder="1"/>
    <xf numFmtId="168" fontId="21" fillId="3" borderId="13" xfId="25" applyNumberFormat="1" applyFont="1" applyFill="1" applyBorder="1" applyAlignment="1">
      <alignment horizontal="left" indent="1"/>
      <protection/>
    </xf>
    <xf numFmtId="170" fontId="26" fillId="3" borderId="13" xfId="0" applyNumberFormat="1" applyFont="1" applyFill="1" applyBorder="1"/>
    <xf numFmtId="168" fontId="21" fillId="3" borderId="1" xfId="25" applyNumberFormat="1" applyFont="1" applyFill="1" applyBorder="1" applyAlignment="1">
      <alignment horizontal="left" indent="1"/>
      <protection/>
    </xf>
    <xf numFmtId="170" fontId="21" fillId="3" borderId="14" xfId="25" applyNumberFormat="1" applyFont="1" applyFill="1" applyBorder="1">
      <alignment/>
      <protection/>
    </xf>
    <xf numFmtId="170" fontId="26" fillId="3" borderId="27" xfId="0" applyNumberFormat="1" applyFont="1" applyFill="1" applyBorder="1"/>
    <xf numFmtId="0" fontId="26" fillId="3" borderId="13" xfId="0" applyNumberFormat="1" applyFont="1" applyFill="1" applyBorder="1"/>
    <xf numFmtId="1" fontId="7" fillId="4" borderId="0" xfId="0" applyNumberFormat="1" applyFont="1" applyFill="1" applyBorder="1" applyAlignment="1">
      <alignment horizontal="center"/>
    </xf>
    <xf numFmtId="17" fontId="0" fillId="4" borderId="0" xfId="0" applyNumberFormat="1" applyFont="1" applyFill="1" applyBorder="1" applyAlignment="1">
      <alignment horizontal="center"/>
    </xf>
    <xf numFmtId="0" fontId="7" fillId="4" borderId="0" xfId="0" applyNumberFormat="1" applyFont="1" applyFill="1" applyBorder="1" applyAlignment="1">
      <alignment horizontal="center"/>
    </xf>
    <xf numFmtId="170" fontId="27" fillId="4" borderId="2" xfId="0" applyNumberFormat="1" applyFont="1" applyFill="1" applyBorder="1"/>
    <xf numFmtId="191" fontId="27" fillId="4" borderId="0" xfId="0" applyNumberFormat="1" applyFont="1" applyFill="1" applyBorder="1"/>
    <xf numFmtId="173" fontId="27" fillId="4" borderId="0" xfId="16" applyNumberFormat="1" applyFont="1" applyFill="1" applyBorder="1" applyAlignment="1">
      <alignment horizontal="right" indent="1"/>
      <protection/>
    </xf>
    <xf numFmtId="0" fontId="26" fillId="4" borderId="0" xfId="0" applyNumberFormat="1" applyFont="1" applyFill="1" applyBorder="1"/>
    <xf numFmtId="17" fontId="2" fillId="4" borderId="0" xfId="0" applyNumberFormat="1" applyFont="1" applyFill="1" applyBorder="1" applyAlignment="1">
      <alignment horizontal="center"/>
    </xf>
    <xf numFmtId="0" fontId="3" fillId="4" borderId="0" xfId="0" applyNumberFormat="1" applyFont="1" applyFill="1" applyBorder="1" applyAlignment="1">
      <alignment horizontal="center"/>
    </xf>
    <xf numFmtId="173" fontId="27" fillId="4" borderId="0" xfId="16" applyNumberFormat="1" applyFont="1" applyFill="1" applyBorder="1">
      <alignment/>
      <protection/>
    </xf>
    <xf numFmtId="1" fontId="27" fillId="4" borderId="0" xfId="0" applyNumberFormat="1" applyFont="1" applyFill="1" applyBorder="1" applyAlignment="1">
      <alignment horizontal="center"/>
    </xf>
    <xf numFmtId="17" fontId="21" fillId="4" borderId="0" xfId="0" applyNumberFormat="1" applyFont="1" applyFill="1" applyBorder="1" applyAlignment="1">
      <alignment horizontal="center"/>
    </xf>
    <xf numFmtId="0" fontId="32" fillId="4" borderId="0" xfId="0" applyNumberFormat="1" applyFont="1" applyFill="1" applyBorder="1" applyAlignment="1">
      <alignment horizontal="center"/>
    </xf>
    <xf numFmtId="170" fontId="24" fillId="4" borderId="0" xfId="0" applyNumberFormat="1" applyFont="1" applyFill="1" applyBorder="1" applyAlignment="1">
      <alignment horizontal="center"/>
    </xf>
    <xf numFmtId="17" fontId="35" fillId="4" borderId="0" xfId="27" applyNumberFormat="1" applyFont="1" applyFill="1" applyBorder="1" applyAlignment="1">
      <alignment horizontal="center"/>
      <protection/>
    </xf>
    <xf numFmtId="168" fontId="27" fillId="4" borderId="0" xfId="27" applyNumberFormat="1" applyFont="1" applyFill="1" applyBorder="1" applyAlignment="1">
      <alignment horizontal="center"/>
      <protection/>
    </xf>
    <xf numFmtId="17" fontId="36" fillId="4" borderId="0" xfId="27" applyNumberFormat="1" applyFont="1" applyFill="1" applyBorder="1" applyAlignment="1">
      <alignment horizontal="center"/>
      <protection/>
    </xf>
    <xf numFmtId="168" fontId="32" fillId="4" borderId="0" xfId="27" applyNumberFormat="1" applyFont="1" applyFill="1" applyBorder="1" applyAlignment="1">
      <alignment horizontal="center"/>
      <protection/>
    </xf>
    <xf numFmtId="170" fontId="26" fillId="3" borderId="0" xfId="0" applyNumberFormat="1" applyFont="1" applyFill="1" applyBorder="1" applyAlignment="1">
      <alignment horizontal="left" indent="5"/>
    </xf>
    <xf numFmtId="170" fontId="26" fillId="4" borderId="0" xfId="0" applyNumberFormat="1" applyFont="1" applyFill="1" applyBorder="1" applyAlignment="1">
      <alignment horizontal="left" indent="1"/>
    </xf>
    <xf numFmtId="170" fontId="0" fillId="0" borderId="0" xfId="0" applyNumberFormat="1" applyFont="1" applyFill="1" applyBorder="1" applyAlignment="1">
      <alignment horizontal="left" indent="1"/>
    </xf>
    <xf numFmtId="170" fontId="26" fillId="3" borderId="2" xfId="0" applyNumberFormat="1" applyFont="1" applyFill="1" applyBorder="1" applyAlignment="1">
      <alignment horizontal="left" indent="2"/>
    </xf>
    <xf numFmtId="170" fontId="21" fillId="3" borderId="0" xfId="0" applyNumberFormat="1" applyFont="1" applyFill="1" applyBorder="1" applyAlignment="1">
      <alignment horizontal="left" indent="3"/>
    </xf>
    <xf numFmtId="171" fontId="26" fillId="3" borderId="0" xfId="0" applyNumberFormat="1" applyFont="1" applyFill="1" applyBorder="1" applyAlignment="1">
      <alignment horizontal="left" indent="2"/>
    </xf>
    <xf numFmtId="171" fontId="26" fillId="4" borderId="0" xfId="0" applyNumberFormat="1" applyFont="1" applyFill="1" applyBorder="1" applyAlignment="1">
      <alignment horizontal="left" indent="1"/>
    </xf>
    <xf numFmtId="171" fontId="0" fillId="0" borderId="0" xfId="0" applyNumberFormat="1" applyFont="1" applyFill="1" applyBorder="1" applyAlignment="1">
      <alignment horizontal="left" indent="1"/>
    </xf>
    <xf numFmtId="171" fontId="0" fillId="3" borderId="0" xfId="0" applyNumberFormat="1" applyFont="1" applyFill="1" applyBorder="1" applyAlignment="1">
      <alignment horizontal="left" indent="3"/>
    </xf>
    <xf numFmtId="171" fontId="0" fillId="3" borderId="2" xfId="0" applyNumberFormat="1" applyFont="1" applyFill="1" applyBorder="1" applyAlignment="1">
      <alignment horizontal="left" indent="3"/>
    </xf>
    <xf numFmtId="171" fontId="9" fillId="3" borderId="0" xfId="0" applyNumberFormat="1" applyFont="1" applyFill="1" applyBorder="1" applyAlignment="1">
      <alignment horizontal="left" indent="1"/>
    </xf>
    <xf numFmtId="171" fontId="9" fillId="4" borderId="0" xfId="0" applyNumberFormat="1" applyFont="1" applyFill="1" applyBorder="1" applyAlignment="1">
      <alignment horizontal="left" indent="1"/>
    </xf>
    <xf numFmtId="170" fontId="0" fillId="3" borderId="7" xfId="0" applyNumberFormat="1" applyFont="1" applyFill="1" applyBorder="1" applyAlignment="1">
      <alignment horizontal="left" indent="2"/>
    </xf>
    <xf numFmtId="171" fontId="26" fillId="3" borderId="10" xfId="0" applyNumberFormat="1" applyFont="1" applyFill="1" applyBorder="1"/>
    <xf numFmtId="171" fontId="26" fillId="4" borderId="10" xfId="0" applyNumberFormat="1" applyFont="1" applyFill="1" applyBorder="1"/>
    <xf numFmtId="171" fontId="26" fillId="3" borderId="10" xfId="0" applyNumberFormat="1" applyFont="1" applyFill="1" applyBorder="1" applyAlignment="1">
      <alignment horizontal="right"/>
    </xf>
    <xf numFmtId="170" fontId="8" fillId="3" borderId="7" xfId="0" applyNumberFormat="1" applyFont="1" applyFill="1" applyBorder="1"/>
    <xf numFmtId="170" fontId="26" fillId="3" borderId="7" xfId="0" applyNumberFormat="1" applyFont="1" applyFill="1" applyBorder="1" applyAlignment="1">
      <alignment horizontal="left" indent="2"/>
    </xf>
    <xf numFmtId="193" fontId="26" fillId="3" borderId="0" xfId="0" applyNumberFormat="1" applyFont="1" applyFill="1" applyBorder="1"/>
    <xf numFmtId="171" fontId="27" fillId="3" borderId="7" xfId="0" applyNumberFormat="1" applyFont="1" applyFill="1" applyBorder="1"/>
    <xf numFmtId="171" fontId="26" fillId="3" borderId="0" xfId="0" applyNumberFormat="1" applyFont="1" applyFill="1" applyBorder="1" applyAlignment="1">
      <alignment horizontal="left" indent="5"/>
    </xf>
    <xf numFmtId="171" fontId="26" fillId="3" borderId="7" xfId="0" applyNumberFormat="1" applyFont="1" applyFill="1" applyBorder="1" applyAlignment="1">
      <alignment horizontal="left" indent="3"/>
    </xf>
    <xf numFmtId="171" fontId="26" fillId="4" borderId="7" xfId="0" applyNumberFormat="1" applyFont="1" applyFill="1" applyBorder="1"/>
    <xf numFmtId="171" fontId="26" fillId="3" borderId="7" xfId="0" applyNumberFormat="1" applyFont="1" applyFill="1" applyBorder="1"/>
    <xf numFmtId="171" fontId="26" fillId="3" borderId="7" xfId="0" applyNumberFormat="1" applyFont="1" applyFill="1" applyBorder="1" applyAlignment="1">
      <alignment horizontal="left" indent="4"/>
    </xf>
    <xf numFmtId="170" fontId="21" fillId="3" borderId="7" xfId="0" applyNumberFormat="1" applyFont="1" applyFill="1" applyBorder="1" applyAlignment="1">
      <alignment horizontal="left" indent="3"/>
    </xf>
    <xf numFmtId="170" fontId="21" fillId="3" borderId="7" xfId="0" applyNumberFormat="1" applyFont="1" applyFill="1" applyBorder="1"/>
    <xf numFmtId="170" fontId="26" fillId="4" borderId="7" xfId="0" applyNumberFormat="1" applyFont="1" applyFill="1" applyBorder="1" applyAlignment="1">
      <alignment horizontal="center"/>
    </xf>
    <xf numFmtId="170" fontId="21" fillId="3" borderId="0" xfId="0" applyNumberFormat="1" applyFont="1" applyFill="1" applyBorder="1" applyAlignment="1">
      <alignment horizontal="left" indent="4"/>
    </xf>
    <xf numFmtId="170" fontId="21" fillId="3" borderId="0" xfId="0" applyNumberFormat="1" applyFont="1" applyFill="1" applyBorder="1" applyAlignment="1">
      <alignment horizontal="left" indent="5"/>
    </xf>
    <xf numFmtId="170" fontId="21" fillId="3" borderId="7" xfId="0" applyNumberFormat="1" applyFont="1" applyFill="1" applyBorder="1" applyAlignment="1">
      <alignment horizontal="left" indent="4"/>
    </xf>
    <xf numFmtId="17" fontId="21" fillId="3" borderId="0" xfId="25" applyNumberFormat="1" applyFont="1" applyFill="1" applyBorder="1">
      <alignment/>
      <protection/>
    </xf>
    <xf numFmtId="17" fontId="26" fillId="3" borderId="0" xfId="0" applyNumberFormat="1" applyFont="1" applyFill="1" applyBorder="1"/>
    <xf numFmtId="17" fontId="26" fillId="3" borderId="23" xfId="0" applyNumberFormat="1" applyFont="1" applyFill="1" applyBorder="1"/>
    <xf numFmtId="17" fontId="26" fillId="3" borderId="11" xfId="0" applyNumberFormat="1" applyFont="1" applyFill="1" applyBorder="1"/>
    <xf numFmtId="194" fontId="21" fillId="3" borderId="0" xfId="25" applyNumberFormat="1" applyFont="1" applyFill="1" applyBorder="1">
      <alignment/>
      <protection/>
    </xf>
    <xf numFmtId="194" fontId="26" fillId="3" borderId="0" xfId="0" applyNumberFormat="1" applyFont="1" applyFill="1" applyBorder="1"/>
    <xf numFmtId="194" fontId="26" fillId="3" borderId="11" xfId="0" applyNumberFormat="1" applyFont="1" applyFill="1" applyBorder="1"/>
    <xf numFmtId="188" fontId="21" fillId="3" borderId="0" xfId="25" applyNumberFormat="1" applyFont="1" applyFill="1" applyBorder="1">
      <alignment/>
      <protection/>
    </xf>
    <xf numFmtId="188" fontId="26" fillId="3" borderId="0" xfId="0" applyNumberFormat="1" applyFont="1" applyFill="1" applyBorder="1"/>
    <xf numFmtId="188" fontId="26" fillId="3" borderId="23" xfId="0" applyNumberFormat="1" applyFont="1" applyFill="1" applyBorder="1"/>
    <xf numFmtId="188" fontId="26" fillId="3" borderId="11" xfId="0" applyNumberFormat="1" applyFont="1" applyFill="1" applyBorder="1"/>
    <xf numFmtId="168" fontId="21" fillId="3" borderId="28" xfId="25" applyNumberFormat="1" applyFont="1" applyFill="1" applyBorder="1" applyAlignment="1">
      <alignment horizontal="left" indent="1"/>
      <protection/>
    </xf>
    <xf numFmtId="188" fontId="21" fillId="3" borderId="2" xfId="25" applyNumberFormat="1" applyFont="1" applyFill="1" applyBorder="1">
      <alignment/>
      <protection/>
    </xf>
    <xf numFmtId="188" fontId="26" fillId="3" borderId="2" xfId="0" applyNumberFormat="1" applyFont="1" applyFill="1" applyBorder="1"/>
    <xf numFmtId="188" fontId="26" fillId="3" borderId="24" xfId="0" applyNumberFormat="1" applyFont="1" applyFill="1" applyBorder="1"/>
    <xf numFmtId="188" fontId="26" fillId="3" borderId="29" xfId="0" applyNumberFormat="1" applyFont="1" applyFill="1" applyBorder="1"/>
    <xf numFmtId="194" fontId="0" fillId="4" borderId="0" xfId="0" applyNumberFormat="1" applyFont="1" applyFill="1" applyBorder="1" applyAlignment="1">
      <alignment horizontal="right"/>
    </xf>
    <xf numFmtId="194" fontId="0" fillId="3" borderId="0" xfId="0" applyNumberFormat="1" applyFont="1" applyFill="1" applyBorder="1" applyAlignment="1">
      <alignment horizontal="right"/>
    </xf>
    <xf numFmtId="194" fontId="26" fillId="4" borderId="0" xfId="0" applyNumberFormat="1" applyFont="1" applyFill="1" applyBorder="1"/>
    <xf numFmtId="188" fontId="0" fillId="4" borderId="0" xfId="0" applyNumberFormat="1" applyFont="1" applyFill="1" applyBorder="1" applyAlignment="1">
      <alignment horizontal="right"/>
    </xf>
    <xf numFmtId="188" fontId="0" fillId="3" borderId="0" xfId="0" applyNumberFormat="1" applyFont="1" applyFill="1" applyBorder="1" applyAlignment="1">
      <alignment horizontal="right"/>
    </xf>
    <xf numFmtId="188" fontId="26" fillId="4" borderId="0" xfId="0" applyNumberFormat="1" applyFont="1" applyFill="1" applyBorder="1"/>
    <xf numFmtId="170" fontId="23" fillId="5" borderId="0" xfId="0" applyNumberFormat="1" applyFont="1" applyFill="1" applyBorder="1" applyAlignment="1">
      <alignment horizontal="left"/>
    </xf>
    <xf numFmtId="170" fontId="23" fillId="5" borderId="0" xfId="0" applyNumberFormat="1" applyFont="1" applyFill="1" applyBorder="1" applyAlignment="1">
      <alignment horizontal="left" indent="3"/>
    </xf>
    <xf numFmtId="195" fontId="26" fillId="4" borderId="0" xfId="0" applyNumberFormat="1" applyFont="1" applyFill="1" applyBorder="1"/>
    <xf numFmtId="195" fontId="26" fillId="3" borderId="0" xfId="0" applyNumberFormat="1" applyFont="1" applyFill="1" applyBorder="1"/>
    <xf numFmtId="170" fontId="26" fillId="3" borderId="0" xfId="0" applyNumberFormat="1" applyFont="1" applyFill="1" applyBorder="1" applyAlignment="1">
      <alignment horizontal="left"/>
    </xf>
    <xf numFmtId="170" fontId="41" fillId="3" borderId="0" xfId="30" applyNumberFormat="1" applyFont="1" applyFill="1" applyBorder="1">
      <alignment/>
      <protection/>
    </xf>
    <xf numFmtId="170" fontId="41" fillId="3" borderId="2" xfId="30" applyNumberFormat="1" applyFont="1" applyFill="1" applyBorder="1" applyProtection="1">
      <alignment/>
      <protection locked="0"/>
    </xf>
    <xf numFmtId="170" fontId="7" fillId="4" borderId="7" xfId="0" applyNumberFormat="1" applyFont="1" applyFill="1" applyBorder="1" applyAlignment="1">
      <alignment horizontal="right"/>
    </xf>
    <xf numFmtId="171" fontId="26" fillId="4" borderId="10" xfId="0" applyNumberFormat="1" applyFont="1" applyFill="1" applyBorder="1" applyAlignment="1">
      <alignment horizontal="right"/>
    </xf>
    <xf numFmtId="166" fontId="7" fillId="4" borderId="0" xfId="0" applyNumberFormat="1" applyFont="1" applyFill="1" applyBorder="1"/>
    <xf numFmtId="173" fontId="7" fillId="4" borderId="0" xfId="0" applyNumberFormat="1" applyFont="1" applyFill="1" applyBorder="1"/>
    <xf numFmtId="171" fontId="0" fillId="4" borderId="0" xfId="0" applyNumberFormat="1" applyFont="1" applyFill="1" applyBorder="1" applyAlignment="1">
      <alignment horizontal="left" indent="1"/>
    </xf>
    <xf numFmtId="196" fontId="7" fillId="3" borderId="0" xfId="0" applyNumberFormat="1" applyFont="1" applyFill="1" applyBorder="1" applyAlignment="1">
      <alignment horizontal="left"/>
    </xf>
    <xf numFmtId="166" fontId="27" fillId="3" borderId="0" xfId="0" applyNumberFormat="1" applyFont="1" applyFill="1" applyBorder="1" applyAlignment="1">
      <alignment horizontal="right"/>
    </xf>
    <xf numFmtId="187" fontId="26" fillId="3" borderId="0" xfId="0" applyNumberFormat="1" applyFont="1" applyFill="1" applyBorder="1" applyAlignment="1">
      <alignment horizontal="right"/>
    </xf>
    <xf numFmtId="194" fontId="26" fillId="3" borderId="0" xfId="0" applyNumberFormat="1" applyFont="1" applyFill="1" applyBorder="1" applyAlignment="1">
      <alignment horizontal="right"/>
    </xf>
    <xf numFmtId="188" fontId="26" fillId="3" borderId="0" xfId="0" applyNumberFormat="1" applyFont="1" applyFill="1" applyBorder="1" applyAlignment="1">
      <alignment horizontal="right"/>
    </xf>
    <xf numFmtId="176" fontId="32" fillId="3" borderId="0" xfId="0" applyNumberFormat="1" applyFont="1" applyFill="1" applyBorder="1" applyAlignment="1">
      <alignment horizontal="left"/>
    </xf>
    <xf numFmtId="176" fontId="27" fillId="4" borderId="0" xfId="0" applyNumberFormat="1" applyFont="1" applyFill="1" applyBorder="1"/>
    <xf numFmtId="176" fontId="27" fillId="3" borderId="0" xfId="0" applyNumberFormat="1" applyFont="1" applyFill="1" applyBorder="1"/>
    <xf numFmtId="176" fontId="27" fillId="3" borderId="0" xfId="16" applyNumberFormat="1" applyFont="1" applyFill="1" applyBorder="1">
      <alignment/>
      <protection/>
    </xf>
    <xf numFmtId="170" fontId="21" fillId="3" borderId="0" xfId="16" applyNumberFormat="1" applyFont="1" applyFill="1">
      <alignment/>
      <protection/>
    </xf>
    <xf numFmtId="168" fontId="21" fillId="3" borderId="0" xfId="25" applyNumberFormat="1" applyFont="1" applyFill="1" applyBorder="1" applyAlignment="1">
      <alignment horizontal="left" indent="1"/>
      <protection/>
    </xf>
    <xf numFmtId="168" fontId="32" fillId="3" borderId="6" xfId="25" applyNumberFormat="1" applyFont="1" applyFill="1" applyBorder="1" applyAlignment="1">
      <alignment horizontal="left"/>
      <protection/>
    </xf>
    <xf numFmtId="168" fontId="21" fillId="3" borderId="4" xfId="25" applyNumberFormat="1" applyFont="1" applyFill="1" applyBorder="1" applyAlignment="1">
      <alignment horizontal="left" indent="1"/>
      <protection/>
    </xf>
    <xf numFmtId="170" fontId="26" fillId="3" borderId="24" xfId="0" applyNumberFormat="1" applyFont="1" applyFill="1" applyBorder="1"/>
    <xf numFmtId="170" fontId="26" fillId="3" borderId="30" xfId="0" applyNumberFormat="1" applyFont="1" applyFill="1" applyBorder="1"/>
    <xf numFmtId="0" fontId="24" fillId="3" borderId="0" xfId="0" applyNumberFormat="1" applyFont="1" applyFill="1" applyBorder="1"/>
    <xf numFmtId="0" fontId="19" fillId="3" borderId="0" xfId="0" applyNumberFormat="1" applyFont="1" applyFill="1" applyBorder="1"/>
    <xf numFmtId="170" fontId="29" fillId="3" borderId="0" xfId="0" applyNumberFormat="1" applyFont="1" applyFill="1" applyBorder="1" applyAlignment="1">
      <alignment horizontal="left"/>
    </xf>
    <xf numFmtId="168" fontId="19" fillId="3" borderId="0" xfId="0" applyNumberFormat="1" applyFont="1" applyFill="1" applyBorder="1" applyAlignment="1">
      <alignment horizontal="left" indent="1"/>
    </xf>
    <xf numFmtId="168" fontId="24" fillId="3" borderId="0" xfId="0" applyNumberFormat="1" applyFont="1" applyFill="1" applyBorder="1" applyAlignment="1">
      <alignment horizontal="left" indent="3"/>
    </xf>
    <xf numFmtId="171" fontId="19" fillId="4" borderId="0" xfId="0" applyNumberFormat="1" applyFont="1" applyFill="1" applyBorder="1"/>
    <xf numFmtId="171" fontId="19" fillId="3" borderId="0" xfId="0" applyNumberFormat="1" applyFont="1" applyFill="1" applyBorder="1"/>
    <xf numFmtId="171" fontId="24" fillId="3" borderId="0" xfId="0" applyNumberFormat="1" applyFont="1" applyFill="1" applyBorder="1"/>
    <xf numFmtId="171" fontId="24" fillId="4" borderId="0" xfId="0" applyNumberFormat="1" applyFont="1" applyFill="1" applyBorder="1"/>
    <xf numFmtId="171" fontId="22" fillId="3" borderId="0" xfId="0" applyNumberFormat="1" applyFont="1" applyFill="1" applyBorder="1"/>
    <xf numFmtId="171" fontId="22" fillId="4" borderId="0" xfId="0" applyNumberFormat="1" applyFont="1" applyFill="1" applyBorder="1"/>
    <xf numFmtId="168" fontId="0" fillId="3" borderId="2" xfId="0" applyNumberFormat="1" applyFont="1" applyFill="1" applyBorder="1" applyAlignment="1">
      <alignment horizontal="left" indent="1"/>
    </xf>
    <xf numFmtId="168" fontId="26" fillId="3" borderId="2" xfId="0" applyNumberFormat="1" applyFont="1" applyFill="1" applyBorder="1" applyAlignment="1">
      <alignment horizontal="left" indent="3"/>
    </xf>
    <xf numFmtId="168" fontId="19" fillId="3" borderId="2" xfId="0" applyNumberFormat="1" applyFont="1" applyFill="1" applyBorder="1" applyAlignment="1">
      <alignment horizontal="left" indent="1"/>
    </xf>
    <xf numFmtId="168" fontId="24" fillId="3" borderId="2" xfId="0" applyNumberFormat="1" applyFont="1" applyFill="1" applyBorder="1" applyAlignment="1">
      <alignment horizontal="left" indent="3"/>
    </xf>
    <xf numFmtId="171" fontId="24" fillId="3" borderId="2" xfId="0" applyNumberFormat="1" applyFont="1" applyFill="1" applyBorder="1"/>
    <xf numFmtId="171" fontId="24" fillId="4" borderId="2" xfId="0" applyNumberFormat="1" applyFont="1" applyFill="1" applyBorder="1"/>
    <xf numFmtId="170" fontId="24" fillId="3" borderId="0" xfId="0" applyNumberFormat="1" applyFont="1" applyFill="1" applyBorder="1" applyAlignment="1">
      <alignment horizontal="left" indent="1"/>
    </xf>
    <xf numFmtId="197" fontId="24" fillId="4" borderId="0" xfId="0" applyNumberFormat="1" applyFont="1" applyFill="1" applyBorder="1"/>
    <xf numFmtId="197" fontId="24" fillId="3" borderId="0" xfId="0" applyNumberFormat="1" applyFont="1" applyFill="1" applyBorder="1"/>
    <xf numFmtId="197" fontId="22" fillId="3" borderId="0" xfId="0" applyNumberFormat="1" applyFont="1" applyFill="1" applyBorder="1"/>
    <xf numFmtId="197" fontId="22" fillId="4" borderId="0" xfId="0" applyNumberFormat="1" applyFont="1" applyFill="1" applyBorder="1"/>
    <xf numFmtId="168" fontId="26" fillId="3" borderId="0" xfId="27" applyNumberFormat="1" applyFont="1" applyFill="1" applyBorder="1" applyAlignment="1">
      <alignment horizontal="left"/>
      <protection/>
    </xf>
    <xf numFmtId="168" fontId="26" fillId="3" borderId="2" xfId="27" applyNumberFormat="1" applyFont="1" applyFill="1" applyBorder="1" applyAlignment="1">
      <alignment horizontal="left" indent="1"/>
      <protection/>
    </xf>
    <xf numFmtId="166" fontId="26" fillId="3" borderId="2" xfId="27" applyNumberFormat="1" applyFont="1" applyFill="1" applyBorder="1" applyAlignment="1">
      <alignment horizontal="left"/>
      <protection/>
    </xf>
    <xf numFmtId="170" fontId="21" fillId="3" borderId="7" xfId="25" applyNumberFormat="1" applyFont="1" applyFill="1" applyBorder="1">
      <alignment/>
      <protection/>
    </xf>
    <xf numFmtId="170" fontId="26" fillId="3" borderId="6" xfId="0" applyNumberFormat="1" applyFont="1" applyFill="1" applyBorder="1"/>
    <xf numFmtId="170" fontId="21" fillId="3" borderId="2" xfId="25" applyNumberFormat="1" applyFont="1" applyFill="1" applyBorder="1">
      <alignment/>
      <protection/>
    </xf>
    <xf numFmtId="170" fontId="26" fillId="3" borderId="1" xfId="0" applyNumberFormat="1" applyFont="1" applyFill="1" applyBorder="1"/>
    <xf numFmtId="168" fontId="32" fillId="3" borderId="7" xfId="25" applyNumberFormat="1" applyFont="1" applyFill="1" applyBorder="1" applyAlignment="1">
      <alignment horizontal="left"/>
      <protection/>
    </xf>
    <xf numFmtId="168" fontId="32" fillId="3" borderId="0" xfId="25" applyNumberFormat="1" applyFont="1" applyFill="1" applyBorder="1" applyAlignment="1">
      <alignment horizontal="left"/>
      <protection/>
    </xf>
    <xf numFmtId="168" fontId="32" fillId="3" borderId="2" xfId="25" applyNumberFormat="1" applyFont="1" applyFill="1" applyBorder="1" applyAlignment="1">
      <alignment horizontal="left"/>
      <protection/>
    </xf>
    <xf numFmtId="198" fontId="32" fillId="3" borderId="0" xfId="25" applyNumberFormat="1" applyFont="1" applyFill="1" applyBorder="1" applyAlignment="1">
      <alignment horizontal="right"/>
      <protection/>
    </xf>
    <xf numFmtId="198" fontId="27" fillId="3" borderId="0" xfId="0" applyNumberFormat="1" applyFont="1" applyFill="1" applyBorder="1" applyAlignment="1">
      <alignment horizontal="right"/>
    </xf>
    <xf numFmtId="198" fontId="27" fillId="3" borderId="23" xfId="0" applyNumberFormat="1" applyFont="1" applyFill="1" applyBorder="1" applyAlignment="1">
      <alignment horizontal="right"/>
    </xf>
    <xf numFmtId="198" fontId="27" fillId="3" borderId="4" xfId="0" applyNumberFormat="1" applyFont="1" applyFill="1" applyBorder="1" applyAlignment="1">
      <alignment horizontal="right"/>
    </xf>
    <xf numFmtId="0" fontId="32" fillId="3" borderId="0" xfId="25" applyNumberFormat="1" applyFont="1" applyFill="1" applyBorder="1" applyAlignment="1">
      <alignment horizontal="right"/>
      <protection/>
    </xf>
    <xf numFmtId="0" fontId="27" fillId="3" borderId="0" xfId="0" applyNumberFormat="1" applyFont="1" applyFill="1" applyBorder="1" applyAlignment="1">
      <alignment horizontal="right"/>
    </xf>
    <xf numFmtId="0" fontId="27" fillId="3" borderId="23" xfId="0" applyNumberFormat="1" applyFont="1" applyFill="1" applyBorder="1" applyAlignment="1">
      <alignment horizontal="right"/>
    </xf>
    <xf numFmtId="0" fontId="27" fillId="3" borderId="4" xfId="0" applyNumberFormat="1" applyFont="1" applyFill="1" applyBorder="1" applyAlignment="1">
      <alignment horizontal="right"/>
    </xf>
    <xf numFmtId="0" fontId="2" fillId="3" borderId="0" xfId="26" applyNumberFormat="1" applyFont="1" applyFill="1" applyBorder="1">
      <alignment/>
      <protection/>
    </xf>
    <xf numFmtId="0" fontId="12" fillId="3" borderId="0" xfId="26" applyNumberFormat="1" applyFont="1" applyFill="1" applyBorder="1" applyAlignment="1">
      <alignment vertical="center"/>
      <protection/>
    </xf>
    <xf numFmtId="0" fontId="17" fillId="3" borderId="0" xfId="26" applyNumberFormat="1" applyFont="1" applyFill="1" applyBorder="1" applyAlignment="1">
      <alignment vertical="center"/>
      <protection/>
    </xf>
    <xf numFmtId="0" fontId="2" fillId="3" borderId="0" xfId="26" applyNumberFormat="1" applyFont="1" applyFill="1" applyBorder="1" applyAlignment="1">
      <alignment vertical="center"/>
      <protection/>
    </xf>
    <xf numFmtId="0" fontId="17" fillId="3" borderId="0" xfId="26" applyNumberFormat="1" applyFont="1" applyFill="1" applyBorder="1" applyAlignment="1">
      <alignment horizontal="center" vertical="center"/>
      <protection/>
    </xf>
    <xf numFmtId="0" fontId="12" fillId="3" borderId="0" xfId="26" applyNumberFormat="1" applyFont="1" applyFill="1" applyBorder="1">
      <alignment/>
      <protection/>
    </xf>
    <xf numFmtId="14" fontId="12" fillId="3" borderId="0" xfId="26" applyNumberFormat="1" applyFont="1" applyFill="1" applyBorder="1" applyAlignment="1">
      <alignment horizontal="center" vertical="center"/>
      <protection/>
    </xf>
    <xf numFmtId="0" fontId="12" fillId="3" borderId="0" xfId="26" applyNumberFormat="1" applyFont="1" applyFill="1" applyBorder="1" applyAlignment="1">
      <alignment horizontal="center"/>
      <protection/>
    </xf>
    <xf numFmtId="0" fontId="16" fillId="3" borderId="0" xfId="26" applyNumberFormat="1" applyFont="1" applyFill="1" applyBorder="1">
      <alignment/>
      <protection/>
    </xf>
    <xf numFmtId="0" fontId="15" fillId="3" borderId="0" xfId="26" applyNumberFormat="1" applyFont="1" applyFill="1" applyBorder="1">
      <alignment/>
      <protection/>
    </xf>
    <xf numFmtId="0" fontId="31" fillId="3" borderId="0" xfId="26" applyNumberFormat="1" applyFont="1" applyFill="1" applyBorder="1" applyAlignment="1">
      <alignment horizontal="center"/>
      <protection/>
    </xf>
    <xf numFmtId="1" fontId="15" fillId="3" borderId="0" xfId="26" applyNumberFormat="1" applyFont="1" applyFill="1" applyBorder="1" applyAlignment="1">
      <alignment horizontal="center"/>
      <protection/>
    </xf>
    <xf numFmtId="0" fontId="16" fillId="3" borderId="0" xfId="26" applyNumberFormat="1" applyFont="1" applyFill="1" applyBorder="1" quotePrefix="1">
      <alignment/>
      <protection/>
    </xf>
    <xf numFmtId="0" fontId="17" fillId="3" borderId="0" xfId="26" applyNumberFormat="1" applyFont="1" applyFill="1" applyBorder="1">
      <alignment/>
      <protection/>
    </xf>
    <xf numFmtId="193" fontId="15" fillId="3" borderId="0" xfId="26" applyNumberFormat="1" applyFont="1" applyFill="1" applyBorder="1">
      <alignment/>
      <protection/>
    </xf>
    <xf numFmtId="189" fontId="17" fillId="3" borderId="0" xfId="26" applyNumberFormat="1" applyFont="1" applyFill="1" applyBorder="1" applyAlignment="1">
      <alignment horizontal="center" vertical="center"/>
      <protection/>
    </xf>
    <xf numFmtId="183" fontId="3" fillId="3" borderId="0" xfId="26" applyNumberFormat="1" applyFont="1" applyFill="1" applyBorder="1" applyAlignment="1">
      <alignment horizontal="right"/>
      <protection/>
    </xf>
    <xf numFmtId="184" fontId="3" fillId="3" borderId="0" xfId="26" applyNumberFormat="1" applyFont="1" applyFill="1" applyBorder="1" applyAlignment="1">
      <alignment horizontal="right"/>
      <protection/>
    </xf>
    <xf numFmtId="14" fontId="8" fillId="3" borderId="31" xfId="26" applyNumberFormat="1" applyFont="1" applyFill="1" applyBorder="1" applyAlignment="1">
      <alignment horizontal="center"/>
      <protection/>
    </xf>
    <xf numFmtId="0" fontId="8" fillId="3" borderId="31" xfId="26" applyNumberFormat="1" applyFont="1" applyFill="1" applyBorder="1" applyAlignment="1">
      <alignment horizontal="center"/>
      <protection/>
    </xf>
    <xf numFmtId="0" fontId="2" fillId="3" borderId="31" xfId="26" applyNumberFormat="1" applyFont="1" applyFill="1" applyBorder="1" applyAlignment="1">
      <alignment horizontal="center"/>
      <protection/>
    </xf>
    <xf numFmtId="0" fontId="8" fillId="3" borderId="31" xfId="26" applyNumberFormat="1" applyFont="1" applyFill="1" applyBorder="1" applyAlignment="1">
      <alignment horizontal="left"/>
      <protection/>
    </xf>
    <xf numFmtId="0" fontId="4" fillId="3" borderId="22" xfId="23" applyFill="1" applyBorder="1">
      <alignment/>
      <protection/>
    </xf>
    <xf numFmtId="0" fontId="4" fillId="3" borderId="31" xfId="23" applyFill="1" applyBorder="1">
      <alignment/>
      <protection/>
    </xf>
    <xf numFmtId="14" fontId="8" fillId="3" borderId="32" xfId="26" applyNumberFormat="1" applyFont="1" applyFill="1" applyBorder="1" applyAlignment="1">
      <alignment horizontal="center"/>
      <protection/>
    </xf>
    <xf numFmtId="0" fontId="8" fillId="3" borderId="33" xfId="26" applyNumberFormat="1" applyFont="1" applyFill="1" applyBorder="1" applyAlignment="1">
      <alignment horizontal="center"/>
      <protection/>
    </xf>
    <xf numFmtId="0" fontId="2" fillId="3" borderId="33" xfId="26" applyNumberFormat="1" applyFont="1" applyFill="1" applyBorder="1" applyAlignment="1">
      <alignment horizontal="center"/>
      <protection/>
    </xf>
    <xf numFmtId="0" fontId="8" fillId="3" borderId="33" xfId="26" applyNumberFormat="1" applyFont="1" applyFill="1" applyBorder="1" applyAlignment="1">
      <alignment horizontal="left"/>
      <protection/>
    </xf>
    <xf numFmtId="0" fontId="4" fillId="3" borderId="34" xfId="23" applyFill="1" applyBorder="1">
      <alignment/>
      <protection/>
    </xf>
    <xf numFmtId="0" fontId="4" fillId="3" borderId="35" xfId="23" applyNumberFormat="1" applyFont="1" applyFill="1" applyBorder="1" applyAlignment="1">
      <alignment horizontal="left"/>
      <protection/>
    </xf>
    <xf numFmtId="14" fontId="8" fillId="3" borderId="22" xfId="26" applyNumberFormat="1" applyFont="1" applyFill="1" applyBorder="1" applyAlignment="1">
      <alignment horizontal="center"/>
      <protection/>
    </xf>
    <xf numFmtId="0" fontId="8" fillId="3" borderId="22" xfId="26" applyNumberFormat="1" applyFont="1" applyFill="1" applyBorder="1" applyAlignment="1">
      <alignment horizontal="center"/>
      <protection/>
    </xf>
    <xf numFmtId="0" fontId="2" fillId="3" borderId="22" xfId="26" applyNumberFormat="1" applyFont="1" applyFill="1" applyBorder="1" applyAlignment="1">
      <alignment horizontal="center"/>
      <protection/>
    </xf>
    <xf numFmtId="0" fontId="8" fillId="3" borderId="22" xfId="26" applyNumberFormat="1" applyFont="1" applyFill="1" applyBorder="1" applyAlignment="1">
      <alignment horizontal="left"/>
      <protection/>
    </xf>
    <xf numFmtId="0" fontId="4" fillId="3" borderId="22" xfId="23" applyNumberFormat="1" applyFont="1" applyFill="1" applyBorder="1" applyAlignment="1">
      <alignment horizontal="left"/>
      <protection/>
    </xf>
    <xf numFmtId="0" fontId="4" fillId="3" borderId="31" xfId="23" applyNumberFormat="1" applyFont="1" applyFill="1" applyBorder="1" applyAlignment="1">
      <alignment horizontal="left"/>
      <protection/>
    </xf>
    <xf numFmtId="14" fontId="12" fillId="6" borderId="0" xfId="26" applyNumberFormat="1" applyFont="1" applyFill="1" applyBorder="1" applyAlignment="1">
      <alignment horizontal="center" vertical="center"/>
      <protection/>
    </xf>
    <xf numFmtId="0" fontId="18" fillId="6" borderId="0" xfId="26" applyNumberFormat="1" applyFont="1" applyFill="1" applyBorder="1" applyAlignment="1">
      <alignment horizontal="center" vertical="center"/>
      <protection/>
    </xf>
    <xf numFmtId="1" fontId="47" fillId="7" borderId="0" xfId="26" applyNumberFormat="1" applyFont="1" applyFill="1" applyBorder="1" applyAlignment="1">
      <alignment horizontal="center" vertical="center"/>
      <protection/>
    </xf>
    <xf numFmtId="166" fontId="47" fillId="7" borderId="0" xfId="16" applyNumberFormat="1" applyFont="1" applyFill="1" applyBorder="1" applyAlignment="1">
      <alignment horizontal="center" vertical="center"/>
      <protection/>
    </xf>
    <xf numFmtId="0" fontId="32" fillId="3" borderId="31" xfId="26" applyNumberFormat="1" applyFont="1" applyFill="1" applyBorder="1" applyAlignment="1">
      <alignment horizontal="center"/>
      <protection/>
    </xf>
    <xf numFmtId="0" fontId="32" fillId="3" borderId="18" xfId="26" applyNumberFormat="1" applyFont="1" applyFill="1" applyBorder="1" applyAlignment="1">
      <alignment horizontal="left"/>
      <protection/>
    </xf>
    <xf numFmtId="171" fontId="23" fillId="5" borderId="23" xfId="0" applyNumberFormat="1" applyFont="1" applyFill="1" applyBorder="1"/>
    <xf numFmtId="0" fontId="21" fillId="0" borderId="0" xfId="26" applyNumberFormat="1" applyFont="1" applyFill="1" applyBorder="1">
      <alignment/>
      <protection/>
    </xf>
    <xf numFmtId="170" fontId="23" fillId="5" borderId="23" xfId="0" applyNumberFormat="1" applyFont="1" applyFill="1" applyBorder="1"/>
    <xf numFmtId="176" fontId="7" fillId="3" borderId="0" xfId="16" applyNumberFormat="1" applyFont="1" applyFill="1" applyBorder="1">
      <alignment/>
      <protection/>
    </xf>
    <xf numFmtId="170" fontId="0" fillId="4" borderId="0" xfId="0" applyNumberFormat="1" applyFont="1" applyFill="1" applyBorder="1" applyAlignment="1">
      <alignment horizontal="left" indent="1"/>
    </xf>
    <xf numFmtId="171" fontId="0" fillId="4" borderId="7" xfId="0" applyNumberFormat="1" applyFont="1" applyFill="1" applyBorder="1"/>
    <xf numFmtId="1" fontId="7" fillId="3" borderId="23" xfId="0" applyNumberFormat="1" applyFont="1" applyFill="1" applyBorder="1" applyAlignment="1">
      <alignment horizontal="center"/>
    </xf>
    <xf numFmtId="171" fontId="26" fillId="3" borderId="23" xfId="0" applyNumberFormat="1" applyFont="1" applyFill="1" applyBorder="1" applyAlignment="1">
      <alignment horizontal="right"/>
    </xf>
    <xf numFmtId="171" fontId="26" fillId="3" borderId="24" xfId="0" applyNumberFormat="1" applyFont="1" applyFill="1" applyBorder="1" applyAlignment="1">
      <alignment horizontal="right"/>
    </xf>
    <xf numFmtId="171" fontId="0" fillId="3" borderId="23" xfId="0" applyNumberFormat="1" applyFont="1" applyFill="1" applyBorder="1" applyAlignment="1">
      <alignment horizontal="right"/>
    </xf>
    <xf numFmtId="171" fontId="7" fillId="3" borderId="30" xfId="0" applyNumberFormat="1" applyFont="1" applyFill="1" applyBorder="1" applyAlignment="1">
      <alignment horizontal="right"/>
    </xf>
    <xf numFmtId="171" fontId="27" fillId="3" borderId="23" xfId="0" applyNumberFormat="1" applyFont="1" applyFill="1" applyBorder="1" applyAlignment="1">
      <alignment horizontal="right"/>
    </xf>
    <xf numFmtId="171" fontId="0" fillId="3" borderId="24" xfId="0" applyNumberFormat="1" applyFont="1" applyFill="1" applyBorder="1" applyAlignment="1">
      <alignment horizontal="right"/>
    </xf>
    <xf numFmtId="171" fontId="7" fillId="3" borderId="23" xfId="0" applyNumberFormat="1" applyFont="1" applyFill="1" applyBorder="1" applyAlignment="1">
      <alignment horizontal="right"/>
    </xf>
    <xf numFmtId="170" fontId="0" fillId="3" borderId="23" xfId="0" applyNumberFormat="1" applyFont="1" applyFill="1" applyBorder="1" applyAlignment="1">
      <alignment horizontal="right"/>
    </xf>
    <xf numFmtId="170" fontId="27" fillId="3" borderId="23" xfId="0" applyNumberFormat="1" applyFont="1" applyFill="1" applyBorder="1" applyAlignment="1">
      <alignment horizontal="right"/>
    </xf>
    <xf numFmtId="170" fontId="0" fillId="3" borderId="30" xfId="0" applyNumberFormat="1" applyFont="1" applyFill="1" applyBorder="1"/>
    <xf numFmtId="170" fontId="7" fillId="3" borderId="30" xfId="0" applyNumberFormat="1" applyFont="1" applyFill="1" applyBorder="1"/>
    <xf numFmtId="170" fontId="0" fillId="3" borderId="23" xfId="0" applyNumberFormat="1" applyFont="1" applyFill="1" applyBorder="1"/>
    <xf numFmtId="170" fontId="0" fillId="3" borderId="24" xfId="0" applyNumberFormat="1" applyFont="1" applyFill="1" applyBorder="1"/>
    <xf numFmtId="170" fontId="7" fillId="3" borderId="23" xfId="0" applyNumberFormat="1" applyFont="1" applyFill="1" applyBorder="1"/>
    <xf numFmtId="170" fontId="24" fillId="3" borderId="23" xfId="0" applyNumberFormat="1" applyFont="1" applyFill="1" applyBorder="1"/>
    <xf numFmtId="170" fontId="27" fillId="3" borderId="30" xfId="0" applyNumberFormat="1" applyFont="1" applyFill="1" applyBorder="1"/>
    <xf numFmtId="171" fontId="26" fillId="3" borderId="23" xfId="0" applyNumberFormat="1" applyFont="1" applyFill="1" applyBorder="1"/>
    <xf numFmtId="171" fontId="0" fillId="3" borderId="36" xfId="0" applyNumberFormat="1" applyFont="1" applyFill="1" applyBorder="1"/>
    <xf numFmtId="171" fontId="7" fillId="3" borderId="23" xfId="0" applyNumberFormat="1" applyFont="1" applyFill="1" applyBorder="1"/>
    <xf numFmtId="171" fontId="27" fillId="3" borderId="23" xfId="0" applyNumberFormat="1" applyFont="1" applyFill="1" applyBorder="1"/>
    <xf numFmtId="171" fontId="24" fillId="3" borderId="23" xfId="0" applyNumberFormat="1" applyFont="1" applyFill="1" applyBorder="1"/>
    <xf numFmtId="171" fontId="19" fillId="3" borderId="23" xfId="0" applyNumberFormat="1" applyFont="1" applyFill="1" applyBorder="1"/>
    <xf numFmtId="181" fontId="7" fillId="3" borderId="23" xfId="0" applyNumberFormat="1" applyFont="1" applyFill="1" applyBorder="1"/>
    <xf numFmtId="171" fontId="0" fillId="3" borderId="23" xfId="0" applyNumberFormat="1" applyFont="1" applyFill="1" applyBorder="1"/>
    <xf numFmtId="171" fontId="0" fillId="3" borderId="24" xfId="0" applyNumberFormat="1" applyFont="1" applyFill="1" applyBorder="1"/>
    <xf numFmtId="181" fontId="27" fillId="3" borderId="23" xfId="0" applyNumberFormat="1" applyFont="1" applyFill="1" applyBorder="1"/>
    <xf numFmtId="171" fontId="19" fillId="3" borderId="23" xfId="0" applyNumberFormat="1" applyFont="1" applyFill="1" applyBorder="1" applyAlignment="1">
      <alignment horizontal="right"/>
    </xf>
    <xf numFmtId="170" fontId="26" fillId="3" borderId="23" xfId="0" applyNumberFormat="1" applyFont="1" applyFill="1" applyBorder="1" applyAlignment="1">
      <alignment horizontal="right"/>
    </xf>
    <xf numFmtId="170" fontId="26" fillId="3" borderId="24" xfId="0" applyNumberFormat="1" applyFont="1" applyFill="1" applyBorder="1" applyAlignment="1">
      <alignment horizontal="right"/>
    </xf>
    <xf numFmtId="170" fontId="0" fillId="3" borderId="36" xfId="0" applyNumberFormat="1" applyFont="1" applyFill="1" applyBorder="1"/>
    <xf numFmtId="171" fontId="26" fillId="3" borderId="24" xfId="0" applyNumberFormat="1" applyFont="1" applyFill="1" applyBorder="1"/>
    <xf numFmtId="191" fontId="27" fillId="3" borderId="23" xfId="0" applyNumberFormat="1" applyFont="1" applyFill="1" applyBorder="1"/>
    <xf numFmtId="170" fontId="26" fillId="3" borderId="36" xfId="0" applyNumberFormat="1" applyFont="1" applyFill="1" applyBorder="1"/>
    <xf numFmtId="171" fontId="24" fillId="3" borderId="24" xfId="0" applyNumberFormat="1" applyFont="1" applyFill="1" applyBorder="1"/>
    <xf numFmtId="195" fontId="26" fillId="3" borderId="23" xfId="0" applyNumberFormat="1" applyFont="1" applyFill="1" applyBorder="1"/>
    <xf numFmtId="173" fontId="27" fillId="3" borderId="23" xfId="16" applyNumberFormat="1" applyFont="1" applyFill="1" applyBorder="1">
      <alignment/>
      <protection/>
    </xf>
    <xf numFmtId="170" fontId="8" fillId="3" borderId="23" xfId="16" applyNumberFormat="1" applyFont="1" applyFill="1" applyBorder="1">
      <alignment/>
      <protection/>
    </xf>
    <xf numFmtId="170" fontId="8" fillId="3" borderId="24" xfId="16" applyNumberFormat="1" applyFont="1" applyFill="1" applyBorder="1">
      <alignment/>
      <protection/>
    </xf>
    <xf numFmtId="170" fontId="6" fillId="3" borderId="23" xfId="16" applyNumberFormat="1" applyFont="1" applyFill="1" applyBorder="1">
      <alignment/>
      <protection/>
    </xf>
    <xf numFmtId="171" fontId="30" fillId="3" borderId="23" xfId="16" applyNumberFormat="1" applyFont="1" applyFill="1" applyBorder="1">
      <alignment/>
      <protection/>
    </xf>
    <xf numFmtId="171" fontId="20" fillId="3" borderId="23" xfId="16" applyNumberFormat="1" applyFont="1" applyFill="1" applyBorder="1">
      <alignment/>
      <protection/>
    </xf>
    <xf numFmtId="181" fontId="24" fillId="3" borderId="23" xfId="0" applyNumberFormat="1" applyFont="1" applyFill="1" applyBorder="1"/>
    <xf numFmtId="17" fontId="36" fillId="3" borderId="23" xfId="27" applyNumberFormat="1" applyFont="1" applyFill="1" applyBorder="1" applyAlignment="1">
      <alignment horizontal="center"/>
      <protection/>
    </xf>
    <xf numFmtId="168" fontId="32" fillId="3" borderId="23" xfId="27" applyNumberFormat="1" applyFont="1" applyFill="1" applyBorder="1" applyAlignment="1">
      <alignment horizontal="center"/>
      <protection/>
    </xf>
    <xf numFmtId="166" fontId="27" fillId="3" borderId="23" xfId="27" applyNumberFormat="1" applyFont="1" applyFill="1" applyBorder="1" applyAlignment="1">
      <alignment horizontal="right"/>
      <protection/>
    </xf>
    <xf numFmtId="170" fontId="27" fillId="3" borderId="30" xfId="27" applyNumberFormat="1" applyFont="1" applyFill="1" applyBorder="1">
      <alignment/>
      <protection/>
    </xf>
    <xf numFmtId="170" fontId="27" fillId="3" borderId="23" xfId="27" applyNumberFormat="1" applyFont="1" applyFill="1" applyBorder="1">
      <alignment/>
      <protection/>
    </xf>
    <xf numFmtId="170" fontId="26" fillId="3" borderId="23" xfId="27" applyNumberFormat="1" applyFont="1" applyFill="1" applyBorder="1">
      <alignment/>
      <protection/>
    </xf>
    <xf numFmtId="170" fontId="26" fillId="3" borderId="24" xfId="27" applyNumberFormat="1" applyFont="1" applyFill="1" applyBorder="1">
      <alignment/>
      <protection/>
    </xf>
    <xf numFmtId="171" fontId="26" fillId="3" borderId="23" xfId="27" applyNumberFormat="1" applyFont="1" applyFill="1" applyBorder="1">
      <alignment/>
      <protection/>
    </xf>
    <xf numFmtId="171" fontId="26" fillId="3" borderId="24" xfId="27" applyNumberFormat="1" applyFont="1" applyFill="1" applyBorder="1">
      <alignment/>
      <protection/>
    </xf>
    <xf numFmtId="171" fontId="27" fillId="3" borderId="30" xfId="27" applyNumberFormat="1" applyFont="1" applyFill="1" applyBorder="1">
      <alignment/>
      <protection/>
    </xf>
    <xf numFmtId="171" fontId="27" fillId="3" borderId="23" xfId="27" applyNumberFormat="1" applyFont="1" applyFill="1" applyBorder="1">
      <alignment/>
      <protection/>
    </xf>
    <xf numFmtId="166" fontId="27" fillId="3" borderId="23" xfId="27" applyNumberFormat="1" applyFont="1" applyFill="1" applyBorder="1">
      <alignment/>
      <protection/>
    </xf>
    <xf numFmtId="171" fontId="27" fillId="3" borderId="23" xfId="27" applyNumberFormat="1" applyFont="1" applyFill="1" applyBorder="1" applyAlignment="1">
      <alignment horizontal="center"/>
      <protection/>
    </xf>
    <xf numFmtId="166" fontId="27" fillId="3" borderId="23" xfId="27" applyNumberFormat="1" applyFont="1" applyFill="1" applyBorder="1" applyAlignment="1">
      <alignment horizontal="center"/>
      <protection/>
    </xf>
    <xf numFmtId="171" fontId="26" fillId="3" borderId="23" xfId="27" applyNumberFormat="1" applyFont="1" applyFill="1" applyBorder="1" applyAlignment="1">
      <alignment horizontal="center"/>
      <protection/>
    </xf>
    <xf numFmtId="181" fontId="26" fillId="3" borderId="23" xfId="27" applyNumberFormat="1" applyFont="1" applyFill="1" applyBorder="1" applyAlignment="1">
      <alignment horizontal="right"/>
      <protection/>
    </xf>
    <xf numFmtId="170" fontId="26" fillId="3" borderId="23" xfId="27" applyNumberFormat="1" applyFont="1" applyFill="1" applyBorder="1" applyAlignment="1">
      <alignment horizontal="right"/>
      <protection/>
    </xf>
    <xf numFmtId="170" fontId="26" fillId="3" borderId="24" xfId="27" applyNumberFormat="1" applyFont="1" applyFill="1" applyBorder="1" applyAlignment="1">
      <alignment horizontal="right"/>
      <protection/>
    </xf>
    <xf numFmtId="170" fontId="27" fillId="3" borderId="30" xfId="27" applyNumberFormat="1" applyFont="1" applyFill="1" applyBorder="1" applyAlignment="1">
      <alignment horizontal="right"/>
      <protection/>
    </xf>
    <xf numFmtId="171" fontId="26" fillId="3" borderId="23" xfId="27" applyNumberFormat="1" applyFont="1" applyFill="1" applyBorder="1" applyAlignment="1">
      <alignment horizontal="right"/>
      <protection/>
    </xf>
    <xf numFmtId="174" fontId="26" fillId="3" borderId="23" xfId="27" applyNumberFormat="1" applyFont="1" applyFill="1" applyBorder="1">
      <alignment/>
      <protection/>
    </xf>
    <xf numFmtId="166" fontId="24" fillId="3" borderId="0" xfId="0" applyNumberFormat="1" applyFont="1" applyFill="1" applyBorder="1" applyAlignment="1">
      <alignment horizontal="right"/>
    </xf>
    <xf numFmtId="0" fontId="12" fillId="0" borderId="0" xfId="26" applyNumberFormat="1" applyFont="1" applyFill="1" applyBorder="1">
      <alignment/>
      <protection/>
    </xf>
    <xf numFmtId="0" fontId="49" fillId="3" borderId="0" xfId="23" applyNumberFormat="1" applyFont="1" applyFill="1" applyBorder="1">
      <alignment/>
      <protection/>
    </xf>
    <xf numFmtId="199" fontId="21" fillId="3" borderId="19" xfId="25" applyNumberFormat="1" applyFont="1" applyFill="1" applyBorder="1" applyAlignment="1">
      <alignment horizontal="left" indent="1"/>
      <protection/>
    </xf>
    <xf numFmtId="171" fontId="0" fillId="3" borderId="7" xfId="0" applyNumberFormat="1" applyFont="1" applyFill="1" applyBorder="1"/>
    <xf numFmtId="0" fontId="24" fillId="3" borderId="23" xfId="0" applyNumberFormat="1" applyFont="1" applyFill="1" applyBorder="1"/>
    <xf numFmtId="171" fontId="26" fillId="3" borderId="30" xfId="0" applyNumberFormat="1" applyFont="1" applyFill="1" applyBorder="1"/>
    <xf numFmtId="170" fontId="26" fillId="3" borderId="23" xfId="0" applyNumberFormat="1" applyFont="1" applyFill="1" applyBorder="1" applyAlignment="1">
      <alignment horizontal="left" indent="1"/>
    </xf>
    <xf numFmtId="170" fontId="7" fillId="3" borderId="36" xfId="0" applyNumberFormat="1" applyFont="1" applyFill="1" applyBorder="1"/>
    <xf numFmtId="197" fontId="24" fillId="3" borderId="23" xfId="0" applyNumberFormat="1" applyFont="1" applyFill="1" applyBorder="1"/>
    <xf numFmtId="166" fontId="27" fillId="3" borderId="23" xfId="0" applyNumberFormat="1" applyFont="1" applyFill="1" applyBorder="1"/>
    <xf numFmtId="17" fontId="2" fillId="3" borderId="23" xfId="0" applyNumberFormat="1" applyFont="1" applyFill="1" applyBorder="1" applyAlignment="1">
      <alignment horizontal="center"/>
    </xf>
    <xf numFmtId="0" fontId="3" fillId="3" borderId="23" xfId="0" applyNumberFormat="1" applyFont="1" applyFill="1" applyBorder="1" applyAlignment="1">
      <alignment horizontal="center"/>
    </xf>
    <xf numFmtId="166" fontId="24" fillId="3" borderId="23" xfId="0" applyNumberFormat="1" applyFont="1" applyFill="1" applyBorder="1"/>
    <xf numFmtId="171" fontId="19" fillId="3" borderId="23" xfId="16" applyNumberFormat="1" applyFont="1" applyFill="1" applyBorder="1">
      <alignment/>
      <protection/>
    </xf>
    <xf numFmtId="173" fontId="24" fillId="3" borderId="23" xfId="0" applyNumberFormat="1" applyFont="1" applyFill="1" applyBorder="1"/>
    <xf numFmtId="166" fontId="7" fillId="3" borderId="23" xfId="0" applyNumberFormat="1" applyFont="1" applyFill="1" applyBorder="1" applyAlignment="1">
      <alignment horizontal="right"/>
    </xf>
    <xf numFmtId="174" fontId="26" fillId="3" borderId="23" xfId="0" applyNumberFormat="1" applyFont="1" applyFill="1" applyBorder="1" applyAlignment="1">
      <alignment horizontal="right"/>
    </xf>
    <xf numFmtId="187" fontId="0" fillId="3" borderId="23" xfId="0" applyNumberFormat="1" applyFont="1" applyFill="1" applyBorder="1" applyAlignment="1">
      <alignment horizontal="right"/>
    </xf>
    <xf numFmtId="194" fontId="0" fillId="3" borderId="23" xfId="0" applyNumberFormat="1" applyFont="1" applyFill="1" applyBorder="1" applyAlignment="1">
      <alignment horizontal="right"/>
    </xf>
    <xf numFmtId="188" fontId="0" fillId="3" borderId="23" xfId="0" applyNumberFormat="1" applyFont="1" applyFill="1" applyBorder="1" applyAlignment="1">
      <alignment horizontal="right"/>
    </xf>
    <xf numFmtId="0" fontId="4" fillId="0" borderId="31" xfId="23" applyBorder="1">
      <alignment/>
      <protection/>
    </xf>
    <xf numFmtId="194" fontId="26" fillId="3" borderId="23" xfId="0" applyNumberFormat="1" applyFont="1" applyFill="1" applyBorder="1"/>
    <xf numFmtId="168" fontId="23" fillId="5" borderId="0" xfId="0" applyNumberFormat="1" applyFont="1" applyFill="1" applyBorder="1"/>
    <xf numFmtId="168" fontId="26" fillId="3" borderId="0" xfId="0" applyNumberFormat="1" applyFont="1" applyFill="1" applyBorder="1"/>
    <xf numFmtId="168" fontId="26" fillId="3" borderId="23" xfId="0" applyNumberFormat="1" applyFont="1" applyFill="1" applyBorder="1"/>
    <xf numFmtId="168" fontId="23" fillId="5" borderId="2" xfId="0" applyNumberFormat="1" applyFont="1" applyFill="1" applyBorder="1"/>
    <xf numFmtId="168" fontId="0" fillId="3" borderId="0" xfId="0" applyNumberFormat="1" applyFont="1" applyFill="1" applyBorder="1"/>
    <xf numFmtId="168" fontId="26" fillId="3" borderId="2" xfId="0" applyNumberFormat="1" applyFont="1" applyFill="1" applyBorder="1"/>
    <xf numFmtId="168" fontId="33" fillId="5" borderId="0" xfId="0" applyNumberFormat="1" applyFont="1" applyFill="1" applyBorder="1"/>
    <xf numFmtId="168" fontId="33" fillId="5" borderId="23" xfId="0" applyNumberFormat="1" applyFont="1" applyFill="1" applyBorder="1"/>
    <xf numFmtId="168" fontId="34" fillId="5" borderId="0" xfId="27" applyNumberFormat="1" applyFont="1" applyFill="1" applyBorder="1">
      <alignment/>
      <protection/>
    </xf>
    <xf numFmtId="168" fontId="27" fillId="3" borderId="0" xfId="27" applyNumberFormat="1" applyFont="1" applyFill="1" applyBorder="1">
      <alignment/>
      <protection/>
    </xf>
    <xf numFmtId="168" fontId="26" fillId="3" borderId="0" xfId="27" applyNumberFormat="1" applyFont="1" applyFill="1" applyBorder="1">
      <alignment/>
      <protection/>
    </xf>
    <xf numFmtId="170" fontId="0" fillId="3" borderId="24" xfId="0" applyNumberFormat="1" applyFont="1" applyFill="1" applyBorder="1" applyAlignment="1">
      <alignment horizontal="right"/>
    </xf>
    <xf numFmtId="170" fontId="7" fillId="3" borderId="23" xfId="0" applyNumberFormat="1" applyFont="1" applyFill="1" applyBorder="1" applyAlignment="1">
      <alignment horizontal="right"/>
    </xf>
    <xf numFmtId="171" fontId="26" fillId="3" borderId="23" xfId="0" applyNumberFormat="1" applyFont="1" applyFill="1" applyBorder="1" applyAlignment="1">
      <alignment horizontal="left" indent="1"/>
    </xf>
    <xf numFmtId="171" fontId="26" fillId="3" borderId="36" xfId="0" applyNumberFormat="1" applyFont="1" applyFill="1" applyBorder="1"/>
    <xf numFmtId="170" fontId="29" fillId="3" borderId="23" xfId="0" applyNumberFormat="1" applyFont="1" applyFill="1" applyBorder="1"/>
    <xf numFmtId="166" fontId="7" fillId="3" borderId="23" xfId="0" applyNumberFormat="1" applyFont="1" applyFill="1" applyBorder="1"/>
    <xf numFmtId="176" fontId="27" fillId="3" borderId="23" xfId="0" applyNumberFormat="1" applyFont="1" applyFill="1" applyBorder="1"/>
    <xf numFmtId="173" fontId="7" fillId="3" borderId="23" xfId="0" applyNumberFormat="1" applyFont="1" applyFill="1" applyBorder="1"/>
    <xf numFmtId="168" fontId="23" fillId="5" borderId="0" xfId="0" applyNumberFormat="1" applyFont="1" applyFill="1" applyBorder="1"/>
    <xf numFmtId="168" fontId="23" fillId="5" borderId="23" xfId="0" applyNumberFormat="1" applyFont="1" applyFill="1" applyBorder="1"/>
    <xf numFmtId="168" fontId="26" fillId="4" borderId="0" xfId="0" applyNumberFormat="1" applyFont="1" applyFill="1" applyBorder="1"/>
    <xf numFmtId="168" fontId="26" fillId="3" borderId="0" xfId="0" applyNumberFormat="1" applyFont="1" applyFill="1" applyBorder="1"/>
    <xf numFmtId="168" fontId="26" fillId="3" borderId="23" xfId="0" applyNumberFormat="1" applyFont="1" applyFill="1" applyBorder="1"/>
    <xf numFmtId="168" fontId="27" fillId="4" borderId="0" xfId="0" applyNumberFormat="1" applyFont="1" applyFill="1" applyBorder="1"/>
    <xf numFmtId="168" fontId="27" fillId="3" borderId="0" xfId="0" applyNumberFormat="1" applyFont="1" applyFill="1" applyBorder="1"/>
    <xf numFmtId="168" fontId="27" fillId="3" borderId="23" xfId="0" applyNumberFormat="1" applyFont="1" applyFill="1" applyBorder="1"/>
    <xf numFmtId="168" fontId="23" fillId="5" borderId="2" xfId="0" applyNumberFormat="1" applyFont="1" applyFill="1" applyBorder="1"/>
    <xf numFmtId="168" fontId="23" fillId="5" borderId="24" xfId="0" applyNumberFormat="1" applyFont="1" applyFill="1" applyBorder="1"/>
    <xf numFmtId="168" fontId="24" fillId="4" borderId="7" xfId="0" applyNumberFormat="1" applyFont="1" applyFill="1" applyBorder="1"/>
    <xf numFmtId="168" fontId="24" fillId="3" borderId="7" xfId="0" applyNumberFormat="1" applyFont="1" applyFill="1" applyBorder="1"/>
    <xf numFmtId="168" fontId="24" fillId="3" borderId="30" xfId="0" applyNumberFormat="1" applyFont="1" applyFill="1" applyBorder="1"/>
    <xf numFmtId="168" fontId="0" fillId="4" borderId="0" xfId="0" applyNumberFormat="1" applyFont="1" applyFill="1" applyBorder="1"/>
    <xf numFmtId="168" fontId="0" fillId="3" borderId="0" xfId="0" applyNumberFormat="1" applyFont="1" applyFill="1" applyBorder="1"/>
    <xf numFmtId="168" fontId="0" fillId="3" borderId="23" xfId="0" applyNumberFormat="1" applyFont="1" applyFill="1" applyBorder="1"/>
    <xf numFmtId="168" fontId="26" fillId="4" borderId="2" xfId="0" applyNumberFormat="1" applyFont="1" applyFill="1" applyBorder="1"/>
    <xf numFmtId="168" fontId="0" fillId="4" borderId="2" xfId="0" applyNumberFormat="1" applyFont="1" applyFill="1" applyBorder="1"/>
    <xf numFmtId="168" fontId="9" fillId="3" borderId="2" xfId="0" applyNumberFormat="1" applyFont="1" applyFill="1" applyBorder="1"/>
    <xf numFmtId="168" fontId="0" fillId="3" borderId="2" xfId="0" applyNumberFormat="1" applyFont="1" applyFill="1" applyBorder="1"/>
    <xf numFmtId="168" fontId="9" fillId="3" borderId="24" xfId="0" applyNumberFormat="1" applyFont="1" applyFill="1" applyBorder="1"/>
    <xf numFmtId="168" fontId="26" fillId="3" borderId="2" xfId="0" applyNumberFormat="1" applyFont="1" applyFill="1" applyBorder="1"/>
    <xf numFmtId="168" fontId="48" fillId="5" borderId="0" xfId="0" applyNumberFormat="1" applyFont="1" applyFill="1" applyBorder="1"/>
    <xf numFmtId="168" fontId="33" fillId="5" borderId="0" xfId="0" applyNumberFormat="1" applyFont="1" applyFill="1" applyBorder="1"/>
    <xf numFmtId="168" fontId="33" fillId="5" borderId="23" xfId="0" applyNumberFormat="1" applyFont="1" applyFill="1" applyBorder="1"/>
    <xf numFmtId="168" fontId="27" fillId="3" borderId="8" xfId="0" applyNumberFormat="1" applyFont="1" applyFill="1" applyBorder="1"/>
    <xf numFmtId="168" fontId="27" fillId="3" borderId="7" xfId="0" applyNumberFormat="1" applyFont="1" applyFill="1" applyBorder="1"/>
    <xf numFmtId="168" fontId="27" fillId="3" borderId="30" xfId="0" applyNumberFormat="1" applyFont="1" applyFill="1" applyBorder="1"/>
    <xf numFmtId="168" fontId="27" fillId="3" borderId="6" xfId="0" applyNumberFormat="1" applyFont="1" applyFill="1" applyBorder="1"/>
    <xf numFmtId="168" fontId="27" fillId="3" borderId="5" xfId="0" applyNumberFormat="1" applyFont="1" applyFill="1" applyBorder="1"/>
    <xf numFmtId="168" fontId="27" fillId="3" borderId="4" xfId="0" applyNumberFormat="1" applyFont="1" applyFill="1" applyBorder="1"/>
    <xf numFmtId="168" fontId="21" fillId="2" borderId="0" xfId="22" applyNumberFormat="1" applyFont="1" applyFill="1" applyBorder="1" applyAlignment="1">
      <alignment horizontal="right"/>
      <protection/>
    </xf>
    <xf numFmtId="168" fontId="21" fillId="2" borderId="23" xfId="22" applyNumberFormat="1" applyFont="1" applyFill="1" applyBorder="1" applyAlignment="1">
      <alignment horizontal="right"/>
      <protection/>
    </xf>
    <xf numFmtId="168" fontId="26" fillId="4" borderId="2" xfId="27" applyNumberFormat="1" applyFont="1" applyFill="1" applyBorder="1" applyAlignment="1">
      <alignment horizontal="right"/>
      <protection/>
    </xf>
    <xf numFmtId="168" fontId="26" fillId="3" borderId="2" xfId="27" applyNumberFormat="1" applyFont="1" applyFill="1" applyBorder="1" applyAlignment="1">
      <alignment horizontal="right"/>
      <protection/>
    </xf>
    <xf numFmtId="168" fontId="26" fillId="4" borderId="2" xfId="27" applyNumberFormat="1" applyFont="1" applyFill="1" applyBorder="1">
      <alignment/>
      <protection/>
    </xf>
    <xf numFmtId="168" fontId="26" fillId="3" borderId="24" xfId="27" applyNumberFormat="1" applyFont="1" applyFill="1" applyBorder="1" applyAlignment="1">
      <alignment horizontal="right"/>
      <protection/>
    </xf>
    <xf numFmtId="168" fontId="34" fillId="5" borderId="0" xfId="27" applyNumberFormat="1" applyFont="1" applyFill="1" applyBorder="1">
      <alignment/>
      <protection/>
    </xf>
    <xf numFmtId="168" fontId="34" fillId="5" borderId="23" xfId="27" applyNumberFormat="1" applyFont="1" applyFill="1" applyBorder="1">
      <alignment/>
      <protection/>
    </xf>
    <xf numFmtId="168" fontId="27" fillId="4" borderId="0" xfId="27" applyNumberFormat="1" applyFont="1" applyFill="1" applyBorder="1">
      <alignment/>
      <protection/>
    </xf>
    <xf numFmtId="168" fontId="27" fillId="3" borderId="0" xfId="27" applyNumberFormat="1" applyFont="1" applyFill="1" applyBorder="1">
      <alignment/>
      <protection/>
    </xf>
    <xf numFmtId="168" fontId="27" fillId="3" borderId="23" xfId="27" applyNumberFormat="1" applyFont="1" applyFill="1" applyBorder="1">
      <alignment/>
      <protection/>
    </xf>
    <xf numFmtId="168" fontId="26" fillId="4" borderId="0" xfId="27" applyNumberFormat="1" applyFont="1" applyFill="1" applyBorder="1">
      <alignment/>
      <protection/>
    </xf>
    <xf numFmtId="168" fontId="26" fillId="3" borderId="0" xfId="27" applyNumberFormat="1" applyFont="1" applyFill="1" applyBorder="1">
      <alignment/>
      <protection/>
    </xf>
    <xf numFmtId="168" fontId="26" fillId="3" borderId="23" xfId="27" applyNumberFormat="1" applyFont="1" applyFill="1" applyBorder="1">
      <alignment/>
      <protection/>
    </xf>
    <xf numFmtId="0" fontId="15" fillId="3" borderId="0" xfId="26" applyNumberFormat="1" applyFont="1" applyFill="1" applyBorder="1" applyAlignment="1">
      <alignment horizontal="left" wrapText="1" indent="1"/>
      <protection/>
    </xf>
    <xf numFmtId="0" fontId="38" fillId="3" borderId="0" xfId="23" applyFont="1" applyFill="1">
      <alignment/>
      <protection/>
    </xf>
    <xf numFmtId="17" fontId="52" fillId="4" borderId="0" xfId="0" applyNumberFormat="1" applyFont="1" applyFill="1" applyBorder="1" applyAlignment="1">
      <alignment horizontal="center"/>
    </xf>
    <xf numFmtId="17" fontId="21" fillId="3" borderId="23" xfId="0" applyNumberFormat="1" applyFont="1" applyFill="1" applyBorder="1" applyAlignment="1">
      <alignment horizontal="center"/>
    </xf>
    <xf numFmtId="0" fontId="50" fillId="4" borderId="0" xfId="0" applyNumberFormat="1" applyFont="1" applyFill="1" applyBorder="1" applyAlignment="1">
      <alignment horizontal="center"/>
    </xf>
    <xf numFmtId="0" fontId="32" fillId="3" borderId="23" xfId="0" applyNumberFormat="1" applyFont="1" applyFill="1" applyBorder="1" applyAlignment="1">
      <alignment horizontal="center"/>
    </xf>
    <xf numFmtId="171" fontId="52" fillId="3" borderId="0" xfId="0" applyNumberFormat="1" applyFont="1" applyFill="1" applyBorder="1" applyAlignment="1">
      <alignment horizontal="right"/>
    </xf>
    <xf numFmtId="171" fontId="52" fillId="4" borderId="0" xfId="0" applyNumberFormat="1" applyFont="1" applyFill="1" applyBorder="1" applyAlignment="1">
      <alignment horizontal="right"/>
    </xf>
    <xf numFmtId="171" fontId="52" fillId="3" borderId="2" xfId="0" applyNumberFormat="1" applyFont="1" applyFill="1" applyBorder="1" applyAlignment="1">
      <alignment horizontal="right"/>
    </xf>
    <xf numFmtId="171" fontId="52" fillId="4" borderId="2" xfId="0" applyNumberFormat="1" applyFont="1" applyFill="1" applyBorder="1" applyAlignment="1">
      <alignment horizontal="right"/>
    </xf>
    <xf numFmtId="170" fontId="52" fillId="4" borderId="0" xfId="0" applyNumberFormat="1" applyFont="1" applyFill="1" applyBorder="1" applyAlignment="1">
      <alignment horizontal="right"/>
    </xf>
    <xf numFmtId="170" fontId="52" fillId="3" borderId="2" xfId="0" applyNumberFormat="1" applyFont="1" applyFill="1" applyBorder="1" applyAlignment="1">
      <alignment horizontal="right"/>
    </xf>
    <xf numFmtId="170" fontId="52" fillId="4" borderId="2" xfId="0" applyNumberFormat="1" applyFont="1" applyFill="1" applyBorder="1" applyAlignment="1">
      <alignment horizontal="right"/>
    </xf>
    <xf numFmtId="170" fontId="52" fillId="3" borderId="24" xfId="0" applyNumberFormat="1" applyFont="1" applyFill="1" applyBorder="1" applyAlignment="1">
      <alignment horizontal="right"/>
    </xf>
    <xf numFmtId="170" fontId="52" fillId="4" borderId="0" xfId="0" applyNumberFormat="1" applyFont="1" applyFill="1" applyBorder="1"/>
    <xf numFmtId="170" fontId="52" fillId="3" borderId="0" xfId="0" applyNumberFormat="1" applyFont="1" applyFill="1" applyBorder="1"/>
    <xf numFmtId="170" fontId="52" fillId="3" borderId="23" xfId="0" applyNumberFormat="1" applyFont="1" applyFill="1" applyBorder="1"/>
    <xf numFmtId="170" fontId="52" fillId="4" borderId="2" xfId="0" applyNumberFormat="1" applyFont="1" applyFill="1" applyBorder="1"/>
    <xf numFmtId="170" fontId="52" fillId="3" borderId="2" xfId="0" applyNumberFormat="1" applyFont="1" applyFill="1" applyBorder="1"/>
    <xf numFmtId="170" fontId="52" fillId="3" borderId="24" xfId="0" applyNumberFormat="1" applyFont="1" applyFill="1" applyBorder="1"/>
    <xf numFmtId="170" fontId="52" fillId="4" borderId="0" xfId="0" applyNumberFormat="1" applyFont="1" applyFill="1" applyBorder="1" applyAlignment="1">
      <alignment horizontal="left" indent="1"/>
    </xf>
    <xf numFmtId="170" fontId="52" fillId="3" borderId="0" xfId="0" applyNumberFormat="1" applyFont="1" applyFill="1" applyBorder="1" applyAlignment="1">
      <alignment horizontal="left" indent="1"/>
    </xf>
    <xf numFmtId="170" fontId="52" fillId="3" borderId="23" xfId="0" applyNumberFormat="1" applyFont="1" applyFill="1" applyBorder="1" applyAlignment="1">
      <alignment horizontal="left" indent="1"/>
    </xf>
    <xf numFmtId="171" fontId="52" fillId="3" borderId="0" xfId="0" applyNumberFormat="1" applyFont="1" applyFill="1" applyBorder="1"/>
    <xf numFmtId="171" fontId="52" fillId="4" borderId="0" xfId="0" applyNumberFormat="1" applyFont="1" applyFill="1" applyBorder="1"/>
    <xf numFmtId="171" fontId="52" fillId="3" borderId="23" xfId="0" applyNumberFormat="1" applyFont="1" applyFill="1" applyBorder="1"/>
    <xf numFmtId="171" fontId="52" fillId="4" borderId="7" xfId="0" applyNumberFormat="1" applyFont="1" applyFill="1" applyBorder="1"/>
    <xf numFmtId="171" fontId="52" fillId="3" borderId="7" xfId="0" applyNumberFormat="1" applyFont="1" applyFill="1" applyBorder="1"/>
    <xf numFmtId="171" fontId="52" fillId="3" borderId="30" xfId="0" applyNumberFormat="1" applyFont="1" applyFill="1" applyBorder="1"/>
    <xf numFmtId="171" fontId="52" fillId="3" borderId="2" xfId="0" applyNumberFormat="1" applyFont="1" applyFill="1" applyBorder="1"/>
    <xf numFmtId="171" fontId="52" fillId="4" borderId="10" xfId="0" applyNumberFormat="1" applyFont="1" applyFill="1" applyBorder="1"/>
    <xf numFmtId="171" fontId="52" fillId="3" borderId="10" xfId="0" applyNumberFormat="1" applyFont="1" applyFill="1" applyBorder="1"/>
    <xf numFmtId="171" fontId="52" fillId="3" borderId="36" xfId="0" applyNumberFormat="1" applyFont="1" applyFill="1" applyBorder="1"/>
    <xf numFmtId="171" fontId="52" fillId="4" borderId="0" xfId="0" applyNumberFormat="1" applyFont="1" applyFill="1" applyBorder="1" applyAlignment="1">
      <alignment horizontal="left" indent="1"/>
    </xf>
    <xf numFmtId="171" fontId="52" fillId="3" borderId="0" xfId="0" applyNumberFormat="1" applyFont="1" applyFill="1" applyBorder="1" applyAlignment="1">
      <alignment horizontal="left" indent="1"/>
    </xf>
    <xf numFmtId="171" fontId="52" fillId="3" borderId="23" xfId="0" applyNumberFormat="1" applyFont="1" applyFill="1" applyBorder="1" applyAlignment="1">
      <alignment horizontal="left" indent="1"/>
    </xf>
    <xf numFmtId="171" fontId="52" fillId="4" borderId="10" xfId="0" applyNumberFormat="1" applyFont="1" applyFill="1" applyBorder="1" applyAlignment="1">
      <alignment horizontal="right"/>
    </xf>
    <xf numFmtId="171" fontId="52" fillId="4" borderId="2" xfId="0" applyNumberFormat="1" applyFont="1" applyFill="1" applyBorder="1"/>
    <xf numFmtId="171" fontId="52" fillId="3" borderId="24" xfId="0" applyNumberFormat="1" applyFont="1" applyFill="1" applyBorder="1"/>
    <xf numFmtId="170" fontId="50" fillId="4" borderId="0" xfId="0" applyNumberFormat="1" applyFont="1" applyFill="1" applyBorder="1"/>
    <xf numFmtId="170" fontId="50" fillId="3" borderId="0" xfId="0" applyNumberFormat="1" applyFont="1" applyFill="1" applyBorder="1"/>
    <xf numFmtId="170" fontId="50" fillId="4" borderId="7" xfId="0" applyNumberFormat="1" applyFont="1" applyFill="1" applyBorder="1"/>
    <xf numFmtId="170" fontId="50" fillId="3" borderId="23" xfId="0" applyNumberFormat="1" applyFont="1" applyFill="1" applyBorder="1"/>
    <xf numFmtId="171" fontId="51" fillId="3" borderId="0" xfId="0" applyNumberFormat="1" applyFont="1" applyFill="1" applyBorder="1"/>
    <xf numFmtId="171" fontId="51" fillId="4" borderId="0" xfId="0" applyNumberFormat="1" applyFont="1" applyFill="1" applyBorder="1"/>
    <xf numFmtId="181" fontId="50" fillId="3" borderId="0" xfId="0" applyNumberFormat="1" applyFont="1" applyFill="1" applyBorder="1"/>
    <xf numFmtId="181" fontId="50" fillId="4" borderId="0" xfId="0" applyNumberFormat="1" applyFont="1" applyFill="1" applyBorder="1"/>
    <xf numFmtId="171" fontId="50" fillId="3" borderId="0" xfId="0" applyNumberFormat="1" applyFont="1" applyFill="1" applyBorder="1"/>
    <xf numFmtId="171" fontId="50" fillId="4" borderId="0" xfId="0" applyNumberFormat="1" applyFont="1" applyFill="1" applyBorder="1"/>
    <xf numFmtId="170" fontId="52" fillId="3" borderId="0" xfId="0" applyNumberFormat="1" applyFont="1" applyFill="1" applyBorder="1" applyAlignment="1">
      <alignment horizontal="right"/>
    </xf>
    <xf numFmtId="170" fontId="54" fillId="3" borderId="0" xfId="30" applyNumberFormat="1" applyFont="1" applyFill="1" applyBorder="1">
      <alignment/>
      <protection/>
    </xf>
    <xf numFmtId="170" fontId="54" fillId="3" borderId="0" xfId="30" applyNumberFormat="1" applyFont="1" applyFill="1" applyBorder="1" applyProtection="1">
      <alignment/>
      <protection locked="0"/>
    </xf>
    <xf numFmtId="170" fontId="54" fillId="3" borderId="2" xfId="30" applyNumberFormat="1" applyFont="1" applyFill="1" applyBorder="1" applyProtection="1">
      <alignment/>
      <protection locked="0"/>
    </xf>
    <xf numFmtId="170" fontId="54" fillId="3" borderId="0" xfId="31" applyNumberFormat="1" applyFont="1" applyFill="1" applyBorder="1" applyProtection="1">
      <alignment/>
      <protection locked="0"/>
    </xf>
    <xf numFmtId="168" fontId="52" fillId="4" borderId="0" xfId="0" applyNumberFormat="1" applyFont="1" applyFill="1" applyBorder="1"/>
    <xf numFmtId="168" fontId="52" fillId="3" borderId="0" xfId="0" applyNumberFormat="1" applyFont="1" applyFill="1" applyBorder="1"/>
    <xf numFmtId="168" fontId="52" fillId="3" borderId="23" xfId="0" applyNumberFormat="1" applyFont="1" applyFill="1" applyBorder="1"/>
    <xf numFmtId="168" fontId="52" fillId="4" borderId="2" xfId="0" applyNumberFormat="1" applyFont="1" applyFill="1" applyBorder="1"/>
    <xf numFmtId="195" fontId="52" fillId="4" borderId="0" xfId="0" applyNumberFormat="1" applyFont="1" applyFill="1" applyBorder="1"/>
    <xf numFmtId="195" fontId="52" fillId="3" borderId="0" xfId="0" applyNumberFormat="1" applyFont="1" applyFill="1" applyBorder="1"/>
    <xf numFmtId="195" fontId="52" fillId="3" borderId="23" xfId="0" applyNumberFormat="1" applyFont="1" applyFill="1" applyBorder="1"/>
    <xf numFmtId="197" fontId="51" fillId="3" borderId="0" xfId="0" applyNumberFormat="1" applyFont="1" applyFill="1" applyBorder="1"/>
    <xf numFmtId="197" fontId="51" fillId="4" borderId="0" xfId="0" applyNumberFormat="1" applyFont="1" applyFill="1" applyBorder="1"/>
    <xf numFmtId="176" fontId="50" fillId="4" borderId="0" xfId="0" applyNumberFormat="1" applyFont="1" applyFill="1" applyBorder="1"/>
    <xf numFmtId="176" fontId="50" fillId="3" borderId="0" xfId="0" applyNumberFormat="1" applyFont="1" applyFill="1" applyBorder="1"/>
    <xf numFmtId="176" fontId="50" fillId="3" borderId="0" xfId="16" applyNumberFormat="1" applyFont="1" applyFill="1" applyBorder="1">
      <alignment/>
      <protection/>
    </xf>
    <xf numFmtId="176" fontId="50" fillId="3" borderId="23" xfId="0" applyNumberFormat="1" applyFont="1" applyFill="1" applyBorder="1"/>
    <xf numFmtId="176" fontId="50" fillId="4" borderId="0" xfId="16" applyNumberFormat="1" applyFont="1" applyFill="1" applyBorder="1">
      <alignment/>
      <protection/>
    </xf>
    <xf numFmtId="166" fontId="50" fillId="3" borderId="0" xfId="0" applyNumberFormat="1" applyFont="1" applyFill="1" applyBorder="1"/>
    <xf numFmtId="166" fontId="50" fillId="4" borderId="0" xfId="0" applyNumberFormat="1" applyFont="1" applyFill="1" applyBorder="1"/>
    <xf numFmtId="166" fontId="50" fillId="3" borderId="0" xfId="0" applyNumberFormat="1" applyFont="1" applyFill="1" applyBorder="1" applyAlignment="1">
      <alignment horizontal="left"/>
    </xf>
    <xf numFmtId="170" fontId="53" fillId="3" borderId="4" xfId="25" applyNumberFormat="1" applyFont="1" applyFill="1" applyBorder="1">
      <alignment/>
      <protection/>
    </xf>
    <xf numFmtId="170" fontId="53" fillId="3" borderId="1" xfId="25" applyNumberFormat="1" applyFont="1" applyFill="1" applyBorder="1">
      <alignment/>
      <protection/>
    </xf>
    <xf numFmtId="187" fontId="53" fillId="3" borderId="0" xfId="25" applyNumberFormat="1" applyFont="1" applyFill="1" applyBorder="1">
      <alignment/>
      <protection/>
    </xf>
    <xf numFmtId="187" fontId="52" fillId="3" borderId="0" xfId="0" applyNumberFormat="1" applyFont="1" applyFill="1" applyBorder="1"/>
    <xf numFmtId="187" fontId="52" fillId="3" borderId="23" xfId="0" applyNumberFormat="1" applyFont="1" applyFill="1" applyBorder="1"/>
    <xf numFmtId="188" fontId="53" fillId="3" borderId="0" xfId="25" applyNumberFormat="1" applyFont="1" applyFill="1" applyBorder="1">
      <alignment/>
      <protection/>
    </xf>
    <xf numFmtId="188" fontId="52" fillId="3" borderId="0" xfId="0" applyNumberFormat="1" applyFont="1" applyFill="1" applyBorder="1"/>
    <xf numFmtId="188" fontId="52" fillId="3" borderId="23" xfId="0" applyNumberFormat="1" applyFont="1" applyFill="1" applyBorder="1"/>
    <xf numFmtId="194" fontId="53" fillId="3" borderId="0" xfId="25" applyNumberFormat="1" applyFont="1" applyFill="1" applyBorder="1">
      <alignment/>
      <protection/>
    </xf>
    <xf numFmtId="194" fontId="52" fillId="3" borderId="0" xfId="0" applyNumberFormat="1" applyFont="1" applyFill="1" applyBorder="1"/>
    <xf numFmtId="194" fontId="52" fillId="3" borderId="23" xfId="0" applyNumberFormat="1" applyFont="1" applyFill="1" applyBorder="1"/>
    <xf numFmtId="1" fontId="7" fillId="8" borderId="0" xfId="0" applyNumberFormat="1" applyFont="1" applyFill="1" applyBorder="1" applyAlignment="1">
      <alignment horizontal="center"/>
    </xf>
    <xf numFmtId="1" fontId="27" fillId="8" borderId="0" xfId="0" applyNumberFormat="1" applyFont="1" applyFill="1" applyBorder="1" applyAlignment="1">
      <alignment horizontal="center"/>
    </xf>
    <xf numFmtId="17" fontId="52" fillId="8" borderId="0" xfId="0" applyNumberFormat="1" applyFont="1" applyFill="1" applyBorder="1" applyAlignment="1">
      <alignment horizontal="center"/>
    </xf>
    <xf numFmtId="17" fontId="21" fillId="8" borderId="0" xfId="0" applyNumberFormat="1" applyFont="1" applyFill="1" applyBorder="1" applyAlignment="1">
      <alignment horizontal="center"/>
    </xf>
    <xf numFmtId="0" fontId="50" fillId="8" borderId="0" xfId="0" applyNumberFormat="1" applyFont="1" applyFill="1" applyBorder="1" applyAlignment="1">
      <alignment horizontal="center"/>
    </xf>
    <xf numFmtId="0" fontId="32" fillId="8" borderId="0" xfId="0" applyNumberFormat="1" applyFont="1" applyFill="1" applyBorder="1" applyAlignment="1">
      <alignment horizontal="center"/>
    </xf>
    <xf numFmtId="171" fontId="26" fillId="8" borderId="0" xfId="0" applyNumberFormat="1" applyFont="1" applyFill="1" applyBorder="1" applyAlignment="1">
      <alignment horizontal="right"/>
    </xf>
    <xf numFmtId="171" fontId="52" fillId="8" borderId="0" xfId="0" applyNumberFormat="1" applyFont="1" applyFill="1" applyBorder="1" applyAlignment="1">
      <alignment horizontal="right"/>
    </xf>
    <xf numFmtId="171" fontId="26" fillId="8" borderId="2" xfId="0" applyNumberFormat="1" applyFont="1" applyFill="1" applyBorder="1" applyAlignment="1">
      <alignment horizontal="right"/>
    </xf>
    <xf numFmtId="171" fontId="52" fillId="8" borderId="2" xfId="0" applyNumberFormat="1" applyFont="1" applyFill="1" applyBorder="1" applyAlignment="1">
      <alignment horizontal="right"/>
    </xf>
    <xf numFmtId="171" fontId="0" fillId="8" borderId="0" xfId="0" applyNumberFormat="1" applyFont="1" applyFill="1" applyBorder="1" applyAlignment="1">
      <alignment horizontal="right"/>
    </xf>
    <xf numFmtId="171" fontId="27" fillId="8" borderId="7" xfId="0" applyNumberFormat="1" applyFont="1" applyFill="1" applyBorder="1" applyAlignment="1">
      <alignment horizontal="right"/>
    </xf>
    <xf numFmtId="171" fontId="7" fillId="8" borderId="7" xfId="0" applyNumberFormat="1" applyFont="1" applyFill="1" applyBorder="1" applyAlignment="1">
      <alignment horizontal="right"/>
    </xf>
    <xf numFmtId="171" fontId="27" fillId="8" borderId="0" xfId="0" applyNumberFormat="1" applyFont="1" applyFill="1" applyBorder="1" applyAlignment="1">
      <alignment horizontal="right"/>
    </xf>
    <xf numFmtId="171" fontId="0" fillId="8" borderId="2" xfId="0" applyNumberFormat="1" applyFont="1" applyFill="1" applyBorder="1" applyAlignment="1">
      <alignment horizontal="right"/>
    </xf>
    <xf numFmtId="171" fontId="7" fillId="8" borderId="0" xfId="0" applyNumberFormat="1" applyFont="1" applyFill="1" applyBorder="1" applyAlignment="1">
      <alignment horizontal="right"/>
    </xf>
    <xf numFmtId="170" fontId="26" fillId="8" borderId="0" xfId="0" applyNumberFormat="1" applyFont="1" applyFill="1" applyBorder="1" applyAlignment="1">
      <alignment horizontal="right"/>
    </xf>
    <xf numFmtId="170" fontId="0" fillId="8" borderId="0" xfId="0" applyNumberFormat="1" applyFont="1" applyFill="1" applyBorder="1" applyAlignment="1">
      <alignment horizontal="right"/>
    </xf>
    <xf numFmtId="170" fontId="52" fillId="8" borderId="0" xfId="0" applyNumberFormat="1" applyFont="1" applyFill="1" applyBorder="1" applyAlignment="1">
      <alignment horizontal="right"/>
    </xf>
    <xf numFmtId="170" fontId="26" fillId="8" borderId="2" xfId="0" applyNumberFormat="1" applyFont="1" applyFill="1" applyBorder="1" applyAlignment="1">
      <alignment horizontal="right"/>
    </xf>
    <xf numFmtId="170" fontId="52" fillId="8" borderId="2" xfId="0" applyNumberFormat="1" applyFont="1" applyFill="1" applyBorder="1" applyAlignment="1">
      <alignment horizontal="right"/>
    </xf>
    <xf numFmtId="170" fontId="0" fillId="8" borderId="2" xfId="0" applyNumberFormat="1" applyFont="1" applyFill="1" applyBorder="1" applyAlignment="1">
      <alignment horizontal="right"/>
    </xf>
    <xf numFmtId="170" fontId="27" fillId="8" borderId="0" xfId="0" applyNumberFormat="1" applyFont="1" applyFill="1" applyBorder="1" applyAlignment="1">
      <alignment horizontal="right"/>
    </xf>
    <xf numFmtId="170" fontId="7" fillId="8" borderId="0" xfId="0" applyNumberFormat="1" applyFont="1" applyFill="1" applyBorder="1" applyAlignment="1">
      <alignment horizontal="right"/>
    </xf>
    <xf numFmtId="170" fontId="52" fillId="8" borderId="0" xfId="0" applyNumberFormat="1" applyFont="1" applyFill="1" applyBorder="1"/>
    <xf numFmtId="170" fontId="26" fillId="8" borderId="0" xfId="0" applyNumberFormat="1" applyFont="1" applyFill="1" applyBorder="1"/>
    <xf numFmtId="170" fontId="52" fillId="8" borderId="2" xfId="0" applyNumberFormat="1" applyFont="1" applyFill="1" applyBorder="1"/>
    <xf numFmtId="170" fontId="0" fillId="8" borderId="7" xfId="0" applyNumberFormat="1" applyFont="1" applyFill="1" applyBorder="1" applyAlignment="1">
      <alignment horizontal="right"/>
    </xf>
    <xf numFmtId="170" fontId="0" fillId="8" borderId="7" xfId="0" applyNumberFormat="1" applyFont="1" applyFill="1" applyBorder="1"/>
    <xf numFmtId="170" fontId="0" fillId="8" borderId="0" xfId="0" applyNumberFormat="1" applyFont="1" applyFill="1" applyBorder="1"/>
    <xf numFmtId="170" fontId="26" fillId="8" borderId="7" xfId="0" applyNumberFormat="1" applyFont="1" applyFill="1" applyBorder="1"/>
    <xf numFmtId="170" fontId="26" fillId="8" borderId="2" xfId="0" applyNumberFormat="1" applyFont="1" applyFill="1" applyBorder="1"/>
    <xf numFmtId="170" fontId="7" fillId="8" borderId="7" xfId="0" applyNumberFormat="1" applyFont="1" applyFill="1" applyBorder="1"/>
    <xf numFmtId="170" fontId="27" fillId="8" borderId="7" xfId="0" applyNumberFormat="1" applyFont="1" applyFill="1" applyBorder="1"/>
    <xf numFmtId="170" fontId="0" fillId="8" borderId="2" xfId="0" applyNumberFormat="1" applyFont="1" applyFill="1" applyBorder="1"/>
    <xf numFmtId="170" fontId="7" fillId="8" borderId="0" xfId="0" applyNumberFormat="1" applyFont="1" applyFill="1" applyBorder="1"/>
    <xf numFmtId="170" fontId="27" fillId="8" borderId="0" xfId="0" applyNumberFormat="1" applyFont="1" applyFill="1" applyBorder="1"/>
    <xf numFmtId="170" fontId="24" fillId="8" borderId="0" xfId="0" applyNumberFormat="1" applyFont="1" applyFill="1" applyBorder="1"/>
    <xf numFmtId="170" fontId="24" fillId="8" borderId="0" xfId="0" applyNumberFormat="1" applyFont="1" applyFill="1" applyBorder="1" applyAlignment="1">
      <alignment horizontal="right"/>
    </xf>
    <xf numFmtId="170" fontId="24" fillId="8" borderId="0" xfId="0" applyNumberFormat="1" applyFont="1" applyFill="1" applyBorder="1" applyAlignment="1">
      <alignment horizontal="center"/>
    </xf>
    <xf numFmtId="170" fontId="26" fillId="8" borderId="0" xfId="0" applyNumberFormat="1" applyFont="1" applyFill="1" applyBorder="1" applyAlignment="1">
      <alignment horizontal="center"/>
    </xf>
    <xf numFmtId="170" fontId="26" fillId="8" borderId="7" xfId="0" applyNumberFormat="1" applyFont="1" applyFill="1" applyBorder="1" applyAlignment="1">
      <alignment horizontal="center"/>
    </xf>
    <xf numFmtId="170" fontId="26" fillId="8" borderId="0" xfId="0" applyNumberFormat="1" applyFont="1" applyFill="1" applyBorder="1" applyAlignment="1">
      <alignment horizontal="left" indent="1"/>
    </xf>
    <xf numFmtId="170" fontId="0" fillId="8" borderId="0" xfId="0" applyNumberFormat="1" applyFont="1" applyFill="1" applyBorder="1" applyAlignment="1">
      <alignment horizontal="left" indent="1"/>
    </xf>
    <xf numFmtId="170" fontId="52" fillId="8" borderId="0" xfId="0" applyNumberFormat="1" applyFont="1" applyFill="1" applyBorder="1" applyAlignment="1">
      <alignment horizontal="left" indent="1"/>
    </xf>
    <xf numFmtId="170" fontId="7" fillId="8" borderId="7" xfId="0" applyNumberFormat="1" applyFont="1" applyFill="1" applyBorder="1" applyAlignment="1">
      <alignment horizontal="right"/>
    </xf>
    <xf numFmtId="168" fontId="26" fillId="8" borderId="0" xfId="0" applyNumberFormat="1" applyFont="1" applyFill="1" applyBorder="1"/>
    <xf numFmtId="171" fontId="26" fillId="8" borderId="0" xfId="0" applyNumberFormat="1" applyFont="1" applyFill="1" applyBorder="1"/>
    <xf numFmtId="171" fontId="52" fillId="8" borderId="0" xfId="0" applyNumberFormat="1" applyFont="1" applyFill="1" applyBorder="1"/>
    <xf numFmtId="171" fontId="0" fillId="8" borderId="10" xfId="0" applyNumberFormat="1" applyFont="1" applyFill="1" applyBorder="1"/>
    <xf numFmtId="171" fontId="26" fillId="8" borderId="10" xfId="0" applyNumberFormat="1" applyFont="1" applyFill="1" applyBorder="1"/>
    <xf numFmtId="171" fontId="7" fillId="8" borderId="0" xfId="0" applyNumberFormat="1" applyFont="1" applyFill="1" applyBorder="1"/>
    <xf numFmtId="171" fontId="27" fillId="8" borderId="0" xfId="0" applyNumberFormat="1" applyFont="1" applyFill="1" applyBorder="1"/>
    <xf numFmtId="171" fontId="0" fillId="8" borderId="0" xfId="0" applyNumberFormat="1" applyFont="1" applyFill="1" applyBorder="1"/>
    <xf numFmtId="171" fontId="26" fillId="8" borderId="7" xfId="0" applyNumberFormat="1" applyFont="1" applyFill="1" applyBorder="1"/>
    <xf numFmtId="171" fontId="0" fillId="8" borderId="7" xfId="0" applyNumberFormat="1" applyFont="1" applyFill="1" applyBorder="1"/>
    <xf numFmtId="171" fontId="52" fillId="8" borderId="7" xfId="0" applyNumberFormat="1" applyFont="1" applyFill="1" applyBorder="1"/>
    <xf numFmtId="171" fontId="52" fillId="8" borderId="10" xfId="0" applyNumberFormat="1" applyFont="1" applyFill="1" applyBorder="1"/>
    <xf numFmtId="171" fontId="26" fillId="8" borderId="0" xfId="0" applyNumberFormat="1" applyFont="1" applyFill="1" applyBorder="1" applyAlignment="1">
      <alignment horizontal="left" indent="1"/>
    </xf>
    <xf numFmtId="171" fontId="52" fillId="8" borderId="0" xfId="0" applyNumberFormat="1" applyFont="1" applyFill="1" applyBorder="1" applyAlignment="1">
      <alignment horizontal="left" indent="1"/>
    </xf>
    <xf numFmtId="171" fontId="52" fillId="8" borderId="10" xfId="0" applyNumberFormat="1" applyFont="1" applyFill="1" applyBorder="1" applyAlignment="1">
      <alignment horizontal="right"/>
    </xf>
    <xf numFmtId="171" fontId="24" fillId="8" borderId="0" xfId="0" applyNumberFormat="1" applyFont="1" applyFill="1" applyBorder="1"/>
    <xf numFmtId="171" fontId="24" fillId="8" borderId="0" xfId="0" applyNumberFormat="1" applyFont="1" applyFill="1" applyBorder="1" applyAlignment="1">
      <alignment horizontal="right"/>
    </xf>
    <xf numFmtId="168" fontId="27" fillId="8" borderId="0" xfId="0" applyNumberFormat="1" applyFont="1" applyFill="1" applyBorder="1"/>
    <xf numFmtId="171" fontId="52" fillId="8" borderId="2" xfId="0" applyNumberFormat="1" applyFont="1" applyFill="1" applyBorder="1"/>
    <xf numFmtId="171" fontId="26" fillId="8" borderId="2" xfId="0" applyNumberFormat="1" applyFont="1" applyFill="1" applyBorder="1"/>
    <xf numFmtId="170" fontId="27" fillId="8" borderId="2" xfId="0" applyNumberFormat="1" applyFont="1" applyFill="1" applyBorder="1"/>
    <xf numFmtId="170" fontId="50" fillId="8" borderId="0" xfId="0" applyNumberFormat="1" applyFont="1" applyFill="1" applyBorder="1"/>
    <xf numFmtId="170" fontId="50" fillId="8" borderId="7" xfId="0" applyNumberFormat="1" applyFont="1" applyFill="1" applyBorder="1"/>
    <xf numFmtId="171" fontId="19" fillId="8" borderId="0" xfId="0" applyNumberFormat="1" applyFont="1" applyFill="1" applyBorder="1"/>
    <xf numFmtId="171" fontId="51" fillId="8" borderId="0" xfId="0" applyNumberFormat="1" applyFont="1" applyFill="1" applyBorder="1"/>
    <xf numFmtId="181" fontId="27" fillId="8" borderId="0" xfId="0" applyNumberFormat="1" applyFont="1" applyFill="1" applyBorder="1"/>
    <xf numFmtId="181" fontId="7" fillId="8" borderId="0" xfId="0" applyNumberFormat="1" applyFont="1" applyFill="1" applyBorder="1"/>
    <xf numFmtId="181" fontId="50" fillId="8" borderId="0" xfId="0" applyNumberFormat="1" applyFont="1" applyFill="1" applyBorder="1"/>
    <xf numFmtId="171" fontId="0" fillId="8" borderId="2" xfId="0" applyNumberFormat="1" applyFont="1" applyFill="1" applyBorder="1"/>
    <xf numFmtId="171" fontId="50" fillId="8" borderId="0" xfId="0" applyNumberFormat="1" applyFont="1" applyFill="1" applyBorder="1"/>
    <xf numFmtId="171" fontId="19" fillId="8" borderId="0" xfId="0" applyNumberFormat="1" applyFont="1" applyFill="1" applyBorder="1" applyAlignment="1">
      <alignment horizontal="right"/>
    </xf>
    <xf numFmtId="170" fontId="0" fillId="8" borderId="10" xfId="0" applyNumberFormat="1" applyFont="1" applyFill="1" applyBorder="1"/>
    <xf numFmtId="170" fontId="26" fillId="8" borderId="10" xfId="0" applyNumberFormat="1" applyFont="1" applyFill="1" applyBorder="1"/>
    <xf numFmtId="191" fontId="27" fillId="8" borderId="0" xfId="0" applyNumberFormat="1" applyFont="1" applyFill="1" applyBorder="1"/>
    <xf numFmtId="191" fontId="7" fillId="8" borderId="0" xfId="0" applyNumberFormat="1" applyFont="1" applyFill="1" applyBorder="1"/>
    <xf numFmtId="170" fontId="7" fillId="8" borderId="10" xfId="0" applyNumberFormat="1" applyFont="1" applyFill="1" applyBorder="1"/>
    <xf numFmtId="170" fontId="27" fillId="8" borderId="10" xfId="0" applyNumberFormat="1" applyFont="1" applyFill="1" applyBorder="1"/>
    <xf numFmtId="168" fontId="24" fillId="8" borderId="7" xfId="0" applyNumberFormat="1" applyFont="1" applyFill="1" applyBorder="1"/>
    <xf numFmtId="166" fontId="7" fillId="8" borderId="0" xfId="0" applyNumberFormat="1" applyFont="1" applyFill="1" applyBorder="1"/>
    <xf numFmtId="166" fontId="27" fillId="8" borderId="0" xfId="0" applyNumberFormat="1" applyFont="1" applyFill="1" applyBorder="1"/>
    <xf numFmtId="166" fontId="24" fillId="8" borderId="0" xfId="0" applyNumberFormat="1" applyFont="1" applyFill="1" applyBorder="1"/>
    <xf numFmtId="166" fontId="24" fillId="8" borderId="0" xfId="0" applyNumberFormat="1" applyFont="1" applyFill="1" applyBorder="1" applyAlignment="1">
      <alignment horizontal="right"/>
    </xf>
    <xf numFmtId="168" fontId="52" fillId="8" borderId="0" xfId="0" applyNumberFormat="1" applyFont="1" applyFill="1" applyBorder="1"/>
    <xf numFmtId="168" fontId="0" fillId="8" borderId="0" xfId="0" applyNumberFormat="1" applyFont="1" applyFill="1" applyBorder="1"/>
    <xf numFmtId="168" fontId="26" fillId="8" borderId="2" xfId="0" applyNumberFormat="1" applyFont="1" applyFill="1" applyBorder="1"/>
    <xf numFmtId="168" fontId="52" fillId="8" borderId="2" xfId="0" applyNumberFormat="1" applyFont="1" applyFill="1" applyBorder="1"/>
    <xf numFmtId="171" fontId="24" fillId="8" borderId="2" xfId="0" applyNumberFormat="1" applyFont="1" applyFill="1" applyBorder="1"/>
    <xf numFmtId="195" fontId="52" fillId="8" borderId="0" xfId="0" applyNumberFormat="1" applyFont="1" applyFill="1" applyBorder="1"/>
    <xf numFmtId="195" fontId="26" fillId="8" borderId="0" xfId="0" applyNumberFormat="1" applyFont="1" applyFill="1" applyBorder="1"/>
    <xf numFmtId="197" fontId="24" fillId="8" borderId="0" xfId="0" applyNumberFormat="1" applyFont="1" applyFill="1" applyBorder="1"/>
    <xf numFmtId="197" fontId="51" fillId="8" borderId="0" xfId="0" applyNumberFormat="1" applyFont="1" applyFill="1" applyBorder="1"/>
    <xf numFmtId="176" fontId="50" fillId="8" borderId="0" xfId="0" applyNumberFormat="1" applyFont="1" applyFill="1" applyBorder="1"/>
    <xf numFmtId="176" fontId="27" fillId="8" borderId="0" xfId="0" applyNumberFormat="1" applyFont="1" applyFill="1" applyBorder="1"/>
    <xf numFmtId="176" fontId="27" fillId="8" borderId="0" xfId="16" applyNumberFormat="1" applyFont="1" applyFill="1" applyBorder="1">
      <alignment/>
      <protection/>
    </xf>
    <xf numFmtId="176" fontId="50" fillId="8" borderId="0" xfId="16" applyNumberFormat="1" applyFont="1" applyFill="1" applyBorder="1">
      <alignment/>
      <protection/>
    </xf>
    <xf numFmtId="173" fontId="27" fillId="8" borderId="0" xfId="16" applyNumberFormat="1" applyFont="1" applyFill="1" applyBorder="1" applyAlignment="1">
      <alignment horizontal="right" indent="1"/>
      <protection/>
    </xf>
    <xf numFmtId="173" fontId="27" fillId="8" borderId="0" xfId="16" applyNumberFormat="1" applyFont="1" applyFill="1" applyBorder="1">
      <alignment/>
      <protection/>
    </xf>
    <xf numFmtId="171" fontId="19" fillId="8" borderId="0" xfId="16" applyNumberFormat="1" applyFont="1" applyFill="1" applyBorder="1" applyAlignment="1">
      <alignment horizontal="right" indent="1"/>
      <protection/>
    </xf>
    <xf numFmtId="171" fontId="19" fillId="8" borderId="0" xfId="16" applyNumberFormat="1" applyFont="1" applyFill="1" applyBorder="1">
      <alignment/>
      <protection/>
    </xf>
    <xf numFmtId="171" fontId="24" fillId="8" borderId="0" xfId="16" applyNumberFormat="1" applyFont="1" applyFill="1" applyBorder="1">
      <alignment/>
      <protection/>
    </xf>
    <xf numFmtId="173" fontId="7" fillId="8" borderId="0" xfId="0" applyNumberFormat="1" applyFont="1" applyFill="1" applyBorder="1"/>
    <xf numFmtId="173" fontId="27" fillId="8" borderId="0" xfId="0" applyNumberFormat="1" applyFont="1" applyFill="1" applyBorder="1"/>
    <xf numFmtId="173" fontId="24" fillId="8" borderId="0" xfId="0" applyNumberFormat="1" applyFont="1" applyFill="1" applyBorder="1"/>
    <xf numFmtId="173" fontId="24" fillId="8" borderId="0" xfId="0" applyNumberFormat="1" applyFont="1" applyFill="1" applyBorder="1" applyAlignment="1">
      <alignment horizontal="right"/>
    </xf>
    <xf numFmtId="181" fontId="24" fillId="8" borderId="0" xfId="0" applyNumberFormat="1" applyFont="1" applyFill="1" applyBorder="1"/>
    <xf numFmtId="181" fontId="24" fillId="8" borderId="0" xfId="0" applyNumberFormat="1" applyFont="1" applyFill="1" applyBorder="1" applyAlignment="1">
      <alignment horizontal="right"/>
    </xf>
    <xf numFmtId="0" fontId="26" fillId="8" borderId="0" xfId="0" applyNumberFormat="1" applyFont="1" applyFill="1" applyBorder="1"/>
    <xf numFmtId="166" fontId="50" fillId="8" borderId="0" xfId="0" applyNumberFormat="1" applyFont="1" applyFill="1" applyBorder="1"/>
    <xf numFmtId="166" fontId="7" fillId="8" borderId="0" xfId="0" applyNumberFormat="1" applyFont="1" applyFill="1" applyBorder="1" applyAlignment="1">
      <alignment horizontal="right"/>
    </xf>
    <xf numFmtId="174" fontId="26" fillId="8" borderId="0" xfId="0" applyNumberFormat="1" applyFont="1" applyFill="1" applyBorder="1" applyAlignment="1">
      <alignment horizontal="right"/>
    </xf>
    <xf numFmtId="174" fontId="0" fillId="8" borderId="0" xfId="0" applyNumberFormat="1" applyFont="1" applyFill="1" applyBorder="1" applyAlignment="1">
      <alignment horizontal="right"/>
    </xf>
    <xf numFmtId="187" fontId="0" fillId="8" borderId="0" xfId="0" applyNumberFormat="1" applyFont="1" applyFill="1" applyBorder="1" applyAlignment="1">
      <alignment horizontal="right"/>
    </xf>
    <xf numFmtId="187" fontId="26" fillId="8" borderId="0" xfId="0" applyNumberFormat="1" applyFont="1" applyFill="1" applyBorder="1"/>
    <xf numFmtId="194" fontId="0" fillId="8" borderId="0" xfId="0" applyNumberFormat="1" applyFont="1" applyFill="1" applyBorder="1" applyAlignment="1">
      <alignment horizontal="right"/>
    </xf>
    <xf numFmtId="194" fontId="26" fillId="8" borderId="0" xfId="0" applyNumberFormat="1" applyFont="1" applyFill="1" applyBorder="1"/>
    <xf numFmtId="188" fontId="0" fillId="8" borderId="0" xfId="0" applyNumberFormat="1" applyFont="1" applyFill="1" applyBorder="1" applyAlignment="1">
      <alignment horizontal="right"/>
    </xf>
    <xf numFmtId="188" fontId="26" fillId="8" borderId="0" xfId="0" applyNumberFormat="1" applyFont="1" applyFill="1" applyBorder="1"/>
    <xf numFmtId="17" fontId="35" fillId="8" borderId="0" xfId="27" applyNumberFormat="1" applyFont="1" applyFill="1" applyBorder="1" applyAlignment="1">
      <alignment horizontal="center"/>
      <protection/>
    </xf>
    <xf numFmtId="17" fontId="36" fillId="8" borderId="0" xfId="27" applyNumberFormat="1" applyFont="1" applyFill="1" applyBorder="1" applyAlignment="1">
      <alignment horizontal="center"/>
      <protection/>
    </xf>
    <xf numFmtId="168" fontId="27" fillId="8" borderId="0" xfId="27" applyNumberFormat="1" applyFont="1" applyFill="1" applyBorder="1" applyAlignment="1">
      <alignment horizontal="center"/>
      <protection/>
    </xf>
    <xf numFmtId="168" fontId="32" fillId="8" borderId="0" xfId="27" applyNumberFormat="1" applyFont="1" applyFill="1" applyBorder="1" applyAlignment="1">
      <alignment horizontal="center"/>
      <protection/>
    </xf>
    <xf numFmtId="166" fontId="27" fillId="8" borderId="0" xfId="27" applyNumberFormat="1" applyFont="1" applyFill="1" applyBorder="1" applyAlignment="1">
      <alignment horizontal="right"/>
      <protection/>
    </xf>
    <xf numFmtId="166" fontId="27" fillId="8" borderId="0" xfId="27" applyNumberFormat="1" applyFont="1" applyFill="1" applyBorder="1">
      <alignment/>
      <protection/>
    </xf>
    <xf numFmtId="168" fontId="26" fillId="8" borderId="2" xfId="27" applyNumberFormat="1" applyFont="1" applyFill="1" applyBorder="1" applyAlignment="1">
      <alignment horizontal="right"/>
      <protection/>
    </xf>
    <xf numFmtId="168" fontId="26" fillId="8" borderId="2" xfId="27" applyNumberFormat="1" applyFont="1" applyFill="1" applyBorder="1">
      <alignment/>
      <protection/>
    </xf>
    <xf numFmtId="170" fontId="27" fillId="8" borderId="7" xfId="27" applyNumberFormat="1" applyFont="1" applyFill="1" applyBorder="1">
      <alignment/>
      <protection/>
    </xf>
    <xf numFmtId="170" fontId="27" fillId="8" borderId="0" xfId="27" applyNumberFormat="1" applyFont="1" applyFill="1" applyBorder="1">
      <alignment/>
      <protection/>
    </xf>
    <xf numFmtId="170" fontId="26" fillId="8" borderId="0" xfId="27" applyNumberFormat="1" applyFont="1" applyFill="1" applyBorder="1">
      <alignment/>
      <protection/>
    </xf>
    <xf numFmtId="170" fontId="26" fillId="8" borderId="2" xfId="27" applyNumberFormat="1" applyFont="1" applyFill="1" applyBorder="1">
      <alignment/>
      <protection/>
    </xf>
    <xf numFmtId="168" fontId="27" fillId="8" borderId="0" xfId="27" applyNumberFormat="1" applyFont="1" applyFill="1" applyBorder="1">
      <alignment/>
      <protection/>
    </xf>
    <xf numFmtId="168" fontId="26" fillId="8" borderId="0" xfId="27" applyNumberFormat="1" applyFont="1" applyFill="1" applyBorder="1">
      <alignment/>
      <protection/>
    </xf>
    <xf numFmtId="171" fontId="26" fillId="8" borderId="0" xfId="27" applyNumberFormat="1" applyFont="1" applyFill="1" applyBorder="1">
      <alignment/>
      <protection/>
    </xf>
    <xf numFmtId="171" fontId="26" fillId="8" borderId="2" xfId="27" applyNumberFormat="1" applyFont="1" applyFill="1" applyBorder="1">
      <alignment/>
      <protection/>
    </xf>
    <xf numFmtId="171" fontId="27" fillId="8" borderId="7" xfId="27" applyNumberFormat="1" applyFont="1" applyFill="1" applyBorder="1">
      <alignment/>
      <protection/>
    </xf>
    <xf numFmtId="171" fontId="27" fillId="8" borderId="0" xfId="27" applyNumberFormat="1" applyFont="1" applyFill="1" applyBorder="1">
      <alignment/>
      <protection/>
    </xf>
    <xf numFmtId="171" fontId="27" fillId="8" borderId="0" xfId="27" applyNumberFormat="1" applyFont="1" applyFill="1" applyBorder="1" applyAlignment="1">
      <alignment horizontal="center"/>
      <protection/>
    </xf>
    <xf numFmtId="166" fontId="27" fillId="8" borderId="0" xfId="27" applyNumberFormat="1" applyFont="1" applyFill="1" applyBorder="1" applyAlignment="1">
      <alignment horizontal="center"/>
      <protection/>
    </xf>
    <xf numFmtId="171" fontId="26" fillId="8" borderId="0" xfId="27" applyNumberFormat="1" applyFont="1" applyFill="1" applyBorder="1" applyAlignment="1">
      <alignment horizontal="center"/>
      <protection/>
    </xf>
    <xf numFmtId="181" fontId="26" fillId="8" borderId="0" xfId="27" applyNumberFormat="1" applyFont="1" applyFill="1" applyBorder="1" applyAlignment="1">
      <alignment horizontal="right"/>
      <protection/>
    </xf>
    <xf numFmtId="170" fontId="26" fillId="8" borderId="0" xfId="27" applyNumberFormat="1" applyFont="1" applyFill="1" applyBorder="1" applyAlignment="1">
      <alignment horizontal="right"/>
      <protection/>
    </xf>
    <xf numFmtId="170" fontId="26" fillId="8" borderId="2" xfId="27" applyNumberFormat="1" applyFont="1" applyFill="1" applyBorder="1" applyAlignment="1">
      <alignment horizontal="right"/>
      <protection/>
    </xf>
    <xf numFmtId="170" fontId="27" fillId="8" borderId="7" xfId="27" applyNumberFormat="1" applyFont="1" applyFill="1" applyBorder="1" applyAlignment="1">
      <alignment horizontal="right"/>
      <protection/>
    </xf>
    <xf numFmtId="171" fontId="26" fillId="8" borderId="0" xfId="27" applyNumberFormat="1" applyFont="1" applyFill="1" applyBorder="1" applyAlignment="1">
      <alignment horizontal="right"/>
      <protection/>
    </xf>
    <xf numFmtId="174" fontId="26" fillId="8" borderId="0" xfId="27" applyNumberFormat="1" applyFont="1" applyFill="1" applyBorder="1" applyAlignment="1">
      <alignment horizontal="right"/>
      <protection/>
    </xf>
  </cellXfs>
  <cellStyles count="19">
    <cellStyle name="Normal" xfId="0" builtinId="0"/>
    <cellStyle name="Percent" xfId="15"/>
    <cellStyle name="Currency" xfId="16"/>
    <cellStyle name="Currency [0]" xfId="17"/>
    <cellStyle name="Comma" xfId="18"/>
    <cellStyle name="Comma [0]" xfId="19"/>
    <cellStyle name="Currency 2" xfId="20"/>
    <cellStyle name="Currency 2 2" xfId="21"/>
    <cellStyle name="Good" xfId="22"/>
    <cellStyle name="Hyperlink" xfId="23"/>
    <cellStyle name="Hyperlink 2" xfId="24"/>
    <cellStyle name="Normal 2" xfId="25"/>
    <cellStyle name="Normal 3" xfId="26"/>
    <cellStyle name="Normal 4" xfId="27"/>
    <cellStyle name="Percent 2" xfId="28"/>
    <cellStyle name="Normal 10" xfId="29"/>
    <cellStyle name="Normal_2Qtr02PR" xfId="30"/>
    <cellStyle name="Normal_Allstate-brand statistics" xfId="31"/>
    <cellStyle name="Comma 2 2" xfId="32"/>
  </cellStyles>
  <dxfs count="11">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ont>
        <color rgb="FFF2F2F2"/>
      </font>
      <fill>
        <patternFill>
          <bgColor rgb="FFF2F2F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10" Type="http://schemas.openxmlformats.org/officeDocument/2006/relationships/calcChain" Target="calcChain.xml" /><Relationship Id="rId4" Type="http://schemas.openxmlformats.org/officeDocument/2006/relationships/worksheet" Target="worksheets/sheet2.xml" /><Relationship Id="rId5" Type="http://schemas.openxmlformats.org/officeDocument/2006/relationships/worksheet" Target="worksheets/sheet3.xml" /><Relationship Id="rId2" Type="http://schemas.openxmlformats.org/officeDocument/2006/relationships/styles" Target="styles.xml" /><Relationship Id="rId7"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 Id="rId6" Type="http://schemas.openxmlformats.org/officeDocument/2006/relationships/worksheet" Target="worksheets/sheet4.xml" /><Relationship Id="rId9" Type="http://schemas.openxmlformats.org/officeDocument/2006/relationships/customXml" Target="../customXml/item2.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_rels/drawing2.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885825</xdr:colOff>
      <xdr:row>7</xdr:row>
      <xdr:rowOff>76200</xdr:rowOff>
    </xdr:to>
    <xdr:pic>
      <xdr:nvPicPr>
        <xdr:cNvPr id="8" name="TegusBrandLogo">
          <a:extLst>
            <a:ext uri="{FF2B5EF4-FFF2-40B4-BE49-F238E27FC236}">
              <a16:creationId xmlns:a16="http://schemas.microsoft.com/office/drawing/2014/main" id="{f7943092-4eb1-4bb2-9a6d-561cde0e21ad}"/>
            </a:ext>
          </a:extLst>
        </xdr:cNvPr>
        <xdr:cNvPicPr>
          <a:picLocks noChangeAspect="1"/>
        </xdr:cNvPicPr>
      </xdr:nvPicPr>
      <xdr:blipFill>
        <a:blip r:embed="rId1"/>
        <a:stretch>
          <a:fillRect/>
        </a:stretch>
      </xdr:blipFill>
      <xdr:spPr>
        <a:xfrm>
          <a:off x="904875" y="952500"/>
          <a:ext cx="1571625" cy="552450"/>
        </a:xfrm>
        <a:prstGeom prst="rec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419100</xdr:colOff>
      <xdr:row>7</xdr:row>
      <xdr:rowOff>76200</xdr:rowOff>
    </xdr:to>
    <xdr:pic>
      <xdr:nvPicPr>
        <xdr:cNvPr id="9" name="TegusBrandLogo">
          <a:extLst>
            <a:ext uri="{FF2B5EF4-FFF2-40B4-BE49-F238E27FC236}">
              <a16:creationId xmlns:a16="http://schemas.microsoft.com/office/drawing/2014/main" id="{fb0db627-7db4-45d5-aea3-3e489c5096a2}"/>
            </a:ext>
          </a:extLst>
        </xdr:cNvPr>
        <xdr:cNvPicPr>
          <a:picLocks noChangeAspect="1"/>
        </xdr:cNvPicPr>
      </xdr:nvPicPr>
      <xdr:blipFill>
        <a:blip r:embed="rId1"/>
        <a:stretch>
          <a:fillRect/>
        </a:stretch>
      </xdr:blipFill>
      <xdr:spPr>
        <a:xfrm>
          <a:off x="952500" y="952500"/>
          <a:ext cx="1466850" cy="504825"/>
        </a:xfrm>
        <a:prstGeom prst="rec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4" Type="http://schemas.openxmlformats.org/officeDocument/2006/relationships/drawing" Target="../drawings/drawing1.xml" /><Relationship Id="rId1" Type="http://schemas.openxmlformats.org/officeDocument/2006/relationships/hyperlink" Target="mailto:support@canalyst.com?subject=Canalyst%20Support:%20The%20Allstate%20Corporation%20ALL%20US&amp;body=Model%20Version:%20FY2018.22" TargetMode="External" /><Relationship Id="rId2" Type="http://schemas.openxmlformats.org/officeDocument/2006/relationships/hyperlink" Target="mailto:support@canalyst.com?subject=Canalyst%20Support:%20The%20Allstate%20Corporation%20ALL%20US&amp;body=Model%20Version:%20FY2018.25" TargetMode="External" /><Relationship Id="rId3" Type="http://schemas.openxmlformats.org/officeDocument/2006/relationships/hyperlink" Target="https://app.tegus.co/app/account/excel-add-in" TargetMode="External" /><Relationship Id="rId5"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4" Type="http://schemas.openxmlformats.org/officeDocument/2006/relationships/printerSettings" Target="../printerSettings/printerSettings2.bin" /><Relationship Id="rId1" Type="http://schemas.openxmlformats.org/officeDocument/2006/relationships/hyperlink" Target="http://www.allstateinvestors.com/phoenix.zhtml?c=93125&amp;p=irol-irhome" TargetMode="External" /><Relationship Id="rId2" Type="http://schemas.openxmlformats.org/officeDocument/2006/relationships/comments" Target="../comments2.xml" /><Relationship Id="rId3" Type="http://schemas.openxmlformats.org/officeDocument/2006/relationships/vmlDrawing" Target="../drawings/vmlDrawing1.vml"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hyperlink" Target="http://www.allstateinvestors.com/phoenix.zhtml?c=93125&amp;p=irol-irhome" TargetMode="External" /><Relationship Id="rId22" Type="http://schemas.openxmlformats.org/officeDocument/2006/relationships/hyperlink" Target="https://www.allstateinvestors.com/static-files/f84ef068-960f-4b13-8c35-dcacd2e0ad5a" TargetMode="External" /><Relationship Id="rId31" Type="http://schemas.openxmlformats.org/officeDocument/2006/relationships/hyperlink" Target="https://www.allstateinvestors.com/static-files/d61a8007-647a-47e4-91cd-0558d1c5a87a" TargetMode="External" /><Relationship Id="rId28" Type="http://schemas.openxmlformats.org/officeDocument/2006/relationships/hyperlink" Target="https://www.allstateinvestors.com/static-files/b2510a3c-ff6e-4033-83df-bc1f57416419" TargetMode="External" /><Relationship Id="rId33" Type="http://schemas.openxmlformats.org/officeDocument/2006/relationships/hyperlink" Target="https://www.allstateinvestors.com/static-files/843db160-5be4-4014-b09d-98a4160210c0" TargetMode="External" /><Relationship Id="rId7" Type="http://schemas.openxmlformats.org/officeDocument/2006/relationships/hyperlink" Target="http://phx.corporate-ir.net/External.File?item=UGFyZW50SUQ9Mzg0NzgxfENoaWxkSUQ9LTF8VHlwZT0z&amp;t=1&amp;cb=636372128001899502" TargetMode="External" /><Relationship Id="rId8" Type="http://schemas.openxmlformats.org/officeDocument/2006/relationships/hyperlink" Target="https://www.allstatenewsroom.com/news/the-allstate-corporation-announces-availability-of-first-quarter-2019-results/" TargetMode="External" /><Relationship Id="rId6" Type="http://schemas.openxmlformats.org/officeDocument/2006/relationships/hyperlink" Target="https://www.allstatenewsroom.com/news/the-allstate-corporation-announces-availability-of-third-quarter-2017-results/" TargetMode="External" /><Relationship Id="rId5" Type="http://schemas.openxmlformats.org/officeDocument/2006/relationships/hyperlink" Target="https://www.sec.gov/Archives/edgar/data/899051/000089905118000003/allcorp123117earningsrelea.htm" TargetMode="External" /><Relationship Id="rId11" Type="http://schemas.openxmlformats.org/officeDocument/2006/relationships/hyperlink" Target="https://www.allstateinvestors.com/static-files/1fab28b9-e5cd-4642-83aa-17145c1fbaac" TargetMode="External" /><Relationship Id="rId30" Type="http://schemas.openxmlformats.org/officeDocument/2006/relationships/hyperlink" Target="https://www.allstateinvestors.com/static-files/d61a8007-647a-47e4-91cd-0558d1c5a87a" TargetMode="External" /><Relationship Id="rId9" Type="http://schemas.openxmlformats.org/officeDocument/2006/relationships/hyperlink" Target="http://www.allstateinvestors.com/static-files/914c1e5a-6753-4fdf-9085-f49859bc4264" TargetMode="External" /><Relationship Id="rId12" Type="http://schemas.openxmlformats.org/officeDocument/2006/relationships/hyperlink" Target="https://www.allstateinvestors.com/static-files/17ac35b1-33fd-4b43-8b75-9c429879fee9" TargetMode="External" /><Relationship Id="rId34" Type="http://schemas.openxmlformats.org/officeDocument/2006/relationships/hyperlink" Target="https://www.allstateinvestors.com/static-files/3cd6ee51-edf7-46ba-af48-db04127303b7" TargetMode="External" /><Relationship Id="rId23" Type="http://schemas.openxmlformats.org/officeDocument/2006/relationships/hyperlink" Target="https://www.allstatenewsroom.com/news/the-allstate-corporation-announces-availability-of-second-quarter-2022-results/" TargetMode="External" /><Relationship Id="rId3" Type="http://schemas.openxmlformats.org/officeDocument/2006/relationships/hyperlink" Target="http://www.allstateinvestors.com/phoenix.zhtml?c=93125&amp;p=irol-qii2018" TargetMode="External" /><Relationship Id="rId36" Type="http://schemas.openxmlformats.org/officeDocument/2006/relationships/drawing" Target="../drawings/drawing2.xml" /><Relationship Id="rId13" Type="http://schemas.openxmlformats.org/officeDocument/2006/relationships/hyperlink" Target="https://www.allstateinvestors.com/static-files/c3c9f735-1e97-417b-b863-c68727cf7065" TargetMode="External" /><Relationship Id="rId26" Type="http://schemas.openxmlformats.org/officeDocument/2006/relationships/hyperlink" Target="https://www.allstateinvestors.com/static-files/cd01cf32-0135-43c3-aa0b-76a86f21f05f" TargetMode="External" /><Relationship Id="rId19" Type="http://schemas.openxmlformats.org/officeDocument/2006/relationships/hyperlink" Target="https://www.allstateinvestors.com/static-files/7e0fe8b5-152f-41c6-b453-ebd64c9772ca" TargetMode="External" /><Relationship Id="rId35" Type="http://schemas.openxmlformats.org/officeDocument/2006/relationships/hyperlink" Target="https://www.allstateinvestors.com/static-files/bacf3890-b3e3-4fd7-b0a4-a86b565cc244" TargetMode="External" /><Relationship Id="rId32" Type="http://schemas.openxmlformats.org/officeDocument/2006/relationships/hyperlink" Target="https://www.allstateinvestors.com/static-files/843db160-5be4-4014-b09d-98a4160210c0" TargetMode="External" /><Relationship Id="rId2" Type="http://schemas.openxmlformats.org/officeDocument/2006/relationships/hyperlink" Target="https://www.sec.gov/Archives/edgar/data/899051/000089905118000055/allcorp93018earningsreleas.htm" TargetMode="External" /><Relationship Id="rId24" Type="http://schemas.openxmlformats.org/officeDocument/2006/relationships/hyperlink" Target="https://www.allstatenewsroom.com/news/the-allstate-corporation-announces-availability-of-second-quarter-2022-results/" TargetMode="External" /><Relationship Id="rId29" Type="http://schemas.openxmlformats.org/officeDocument/2006/relationships/hyperlink" Target="https://www.allstateinvestors.com/static-files/58d81232-ea45-4683-913d-cdc81ce01630" TargetMode="External" /><Relationship Id="rId25" Type="http://schemas.openxmlformats.org/officeDocument/2006/relationships/hyperlink" Target="https://www.allstateinvestors.com/static-files/83cf2886-4f18-4783-8ad0-4d9d35492ae0" TargetMode="External" /><Relationship Id="rId17" Type="http://schemas.openxmlformats.org/officeDocument/2006/relationships/hyperlink" Target="https://www.allstateinvestors.com/static-files/93a1bd2a-3739-4b3b-bb99-7bef1d71f9c0" TargetMode="External" /><Relationship Id="rId27" Type="http://schemas.openxmlformats.org/officeDocument/2006/relationships/hyperlink" Target="https://www.allstateinvestors.com/static-files/cd01cf32-0135-43c3-aa0b-76a86f21f05f" TargetMode="External" /><Relationship Id="rId10" Type="http://schemas.openxmlformats.org/officeDocument/2006/relationships/hyperlink" Target="http://www.allstateinvestors.com/static-files/de528d46-bb6e-4d6f-ac9d-113d6d9d3046" TargetMode="External" /><Relationship Id="rId18" Type="http://schemas.openxmlformats.org/officeDocument/2006/relationships/hyperlink" Target="https://www.allstateinvestors.com/static-files/7e291f3e-a249-417f-947f-ecc2441c3923" TargetMode="External" /><Relationship Id="rId21" Type="http://schemas.openxmlformats.org/officeDocument/2006/relationships/hyperlink" Target="https://www.sec.gov/Archives/edgar/data/0000899051/000089905122000009/allcorp123121earningsrelea.htm" TargetMode="External" /><Relationship Id="rId20" Type="http://schemas.openxmlformats.org/officeDocument/2006/relationships/hyperlink" Target="https://www.sec.gov/Archives/edgar/data/0000899051/000089905122000009/allcorp123121earningsrelea.htm" TargetMode="External" /><Relationship Id="rId4" Type="http://schemas.openxmlformats.org/officeDocument/2006/relationships/hyperlink" Target="https://www.sec.gov/Archives/edgar/data/899051/000089905118000016/allcorp33118earningsreleas.htm" TargetMode="External" /><Relationship Id="rId16" Type="http://schemas.openxmlformats.org/officeDocument/2006/relationships/hyperlink" Target="https://www.allstatenewsroom.com/news/the-allstate-corporation-announces-availability-of-fourth-quarter-2020-results/" TargetMode="External" /><Relationship Id="rId15" Type="http://schemas.openxmlformats.org/officeDocument/2006/relationships/hyperlink" Target="https://www.allstatenewsroom.com/news/the-allstate-corporation-announces-availability-of-fourth-quarter-2020-results/" TargetMode="External" /><Relationship Id="rId14" Type="http://schemas.openxmlformats.org/officeDocument/2006/relationships/hyperlink" Target="https://www.allstateinvestors.com/static-files/0b5be2ce-a9cc-4f49-a1f1-b1e39409feb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A269B36-332F-417F-AE4C-79B5BC233889}">
  <sheetPr codeName="Sheet5">
    <pageSetUpPr fitToPage="1"/>
  </sheetPr>
  <dimension ref="A1:AH67"/>
  <sheetViews>
    <sheetView showGridLines="0" tabSelected="1" zoomScaleSheetLayoutView="100" zoomScalePageLayoutView="97" workbookViewId="0" topLeftCell="A1"/>
  </sheetViews>
  <sheetFormatPr defaultColWidth="8.854285714285714" defaultRowHeight="15"/>
  <cols>
    <col min="1" max="1" width="5.714285714285714" style="18" customWidth="1"/>
    <col min="2" max="2" width="7.857142857142857" style="18" customWidth="1"/>
    <col min="3" max="3" width="10.285714285714286" style="18" customWidth="1"/>
    <col min="4" max="4" width="13.714285714285714" style="18" customWidth="1"/>
    <col min="5" max="5" width="5.428571428571429" style="18" customWidth="1"/>
    <col min="6" max="6" width="13.714285714285714" style="18" customWidth="1"/>
    <col min="7" max="7" width="6.857142857142857" style="18" customWidth="1"/>
    <col min="8" max="8" width="31.714285714285715" style="18" customWidth="1"/>
    <col min="9" max="15" width="8.857142857142858" style="18" customWidth="1"/>
    <col min="16" max="16" width="45.714285714285715" style="18" customWidth="1"/>
    <col min="17" max="17" width="8.857142857142858" style="18" customWidth="1"/>
    <col min="18" max="16384" width="8.857142857142858" style="18"/>
  </cols>
  <sheetData>
    <row r="1" spans="1:24" ht="15">
      <c r="A1" s="683"/>
      <c r="B1" s="683"/>
      <c r="C1" s="683"/>
      <c r="D1" s="683"/>
      <c r="E1" s="683"/>
      <c r="F1" s="683"/>
      <c r="G1" s="683"/>
      <c r="H1" s="683"/>
      <c r="I1" s="683"/>
      <c r="J1" s="683"/>
      <c r="K1" s="683"/>
      <c r="L1" s="683"/>
      <c r="M1" s="683"/>
      <c r="N1" s="683"/>
      <c r="O1" s="683"/>
      <c r="P1" s="683"/>
      <c r="Q1" s="683"/>
      <c r="R1" s="683"/>
      <c r="S1" s="683"/>
      <c r="T1" s="683"/>
      <c r="U1" s="683"/>
      <c r="V1" s="683"/>
      <c r="W1" s="683"/>
      <c r="X1" s="683"/>
    </row>
    <row r="2" spans="1:24" ht="15">
      <c r="A2" s="683"/>
      <c r="B2" s="683"/>
      <c r="C2" s="683"/>
      <c r="D2" s="683"/>
      <c r="E2" s="683"/>
      <c r="F2" s="683"/>
      <c r="G2" s="683"/>
      <c r="H2" s="683"/>
      <c r="I2" s="683"/>
      <c r="J2" s="683"/>
      <c r="K2" s="683"/>
      <c r="L2" s="683"/>
      <c r="M2" s="683"/>
      <c r="N2" s="683"/>
      <c r="O2" s="683"/>
      <c r="P2" s="683"/>
      <c r="Q2" s="683"/>
      <c r="R2" s="683"/>
      <c r="S2" s="683"/>
      <c r="T2" s="683"/>
      <c r="U2" s="683"/>
      <c r="V2" s="683"/>
      <c r="W2" s="683"/>
      <c r="X2" s="683"/>
    </row>
    <row r="3" spans="1:24" ht="15">
      <c r="A3" s="683"/>
      <c r="B3" s="683"/>
      <c r="C3" s="683"/>
      <c r="D3" s="683"/>
      <c r="E3" s="683"/>
      <c r="F3" s="683"/>
      <c r="G3" s="683"/>
      <c r="H3" s="683"/>
      <c r="I3" s="683"/>
      <c r="J3" s="683"/>
      <c r="K3" s="683"/>
      <c r="L3" s="683"/>
      <c r="M3" s="683"/>
      <c r="N3" s="683"/>
      <c r="O3" s="683"/>
      <c r="P3" s="683"/>
      <c r="Q3" s="683"/>
      <c r="R3" s="683"/>
      <c r="S3" s="683"/>
      <c r="T3" s="683"/>
      <c r="U3" s="683"/>
      <c r="V3" s="683"/>
      <c r="W3" s="683"/>
      <c r="X3" s="683"/>
    </row>
    <row r="4" spans="1:24" ht="15">
      <c r="A4" s="683"/>
      <c r="B4" s="683"/>
      <c r="C4" s="683"/>
      <c r="D4" s="683"/>
      <c r="E4" s="683"/>
      <c r="F4" s="683"/>
      <c r="G4" s="683"/>
      <c r="H4" s="683"/>
      <c r="I4" s="683"/>
      <c r="J4" s="683"/>
      <c r="K4" s="683"/>
      <c r="L4" s="683"/>
      <c r="M4" s="683"/>
      <c r="N4" s="683"/>
      <c r="O4" s="683"/>
      <c r="P4" s="683"/>
      <c r="Q4" s="683"/>
      <c r="R4" s="683"/>
      <c r="S4" s="683"/>
      <c r="T4" s="683"/>
      <c r="U4" s="683"/>
      <c r="V4" s="683"/>
      <c r="W4" s="683"/>
      <c r="X4" s="683"/>
    </row>
    <row r="5" spans="1:24" ht="15">
      <c r="A5" s="683"/>
      <c r="B5" s="683"/>
      <c r="C5" s="683"/>
      <c r="D5" s="683"/>
      <c r="E5" s="683"/>
      <c r="F5" s="683"/>
      <c r="G5" s="683"/>
      <c r="H5" s="683"/>
      <c r="I5" s="683"/>
      <c r="J5" s="683"/>
      <c r="K5" s="683"/>
      <c r="L5" s="683"/>
      <c r="M5" s="683"/>
      <c r="N5" s="683"/>
      <c r="O5" s="683"/>
      <c r="P5" s="683"/>
      <c r="Q5" s="683"/>
      <c r="R5" s="683"/>
      <c r="S5" s="683"/>
      <c r="T5" s="683"/>
      <c r="U5" s="683"/>
      <c r="V5" s="683"/>
      <c r="W5" s="683"/>
      <c r="X5" s="683"/>
    </row>
    <row r="6" spans="1:24" ht="18.75">
      <c r="A6" s="683"/>
      <c r="B6" s="683"/>
      <c r="C6" s="683"/>
      <c r="D6" s="683"/>
      <c r="E6" s="683"/>
      <c r="F6" s="683"/>
      <c r="G6" s="683"/>
      <c r="H6" s="683"/>
      <c r="I6" s="683"/>
      <c r="J6" s="683"/>
      <c r="K6" s="683"/>
      <c r="L6" s="683"/>
      <c r="M6" s="684" t="s">
        <v>0</v>
      </c>
      <c r="N6" s="683"/>
      <c r="O6" s="683"/>
      <c r="P6" s="683"/>
      <c r="Q6" s="683"/>
      <c r="R6" s="683"/>
      <c r="S6" s="683"/>
      <c r="T6" s="683"/>
      <c r="U6" s="683"/>
      <c r="V6" s="683"/>
      <c r="W6" s="683"/>
      <c r="X6" s="683"/>
    </row>
    <row r="7" spans="1:24" ht="18.75">
      <c r="A7" s="683"/>
      <c r="B7" s="683"/>
      <c r="C7" s="683"/>
      <c r="D7" s="683"/>
      <c r="E7" s="683"/>
      <c r="F7" s="683"/>
      <c r="G7" s="683"/>
      <c r="H7" s="683"/>
      <c r="I7" s="683"/>
      <c r="J7" s="683"/>
      <c r="K7" s="683"/>
      <c r="L7" s="683"/>
      <c r="M7" s="883" t="s">
        <v>1</v>
      </c>
      <c r="N7" s="883"/>
      <c r="O7" s="883"/>
      <c r="P7" s="683"/>
      <c r="Q7" s="683"/>
      <c r="R7" s="683"/>
      <c r="S7" s="683"/>
      <c r="T7" s="683"/>
      <c r="U7" s="683"/>
      <c r="V7" s="683"/>
      <c r="W7" s="683"/>
      <c r="X7" s="683"/>
    </row>
    <row r="8" spans="1:24" ht="28.5">
      <c r="A8" s="683"/>
      <c r="B8" s="683"/>
      <c r="C8" s="683"/>
      <c r="D8" s="683"/>
      <c r="E8" s="683"/>
      <c r="F8" s="14"/>
      <c r="G8" s="14"/>
      <c r="H8" s="14"/>
      <c r="I8" s="14"/>
      <c r="J8" s="14"/>
      <c r="K8" s="14"/>
      <c r="L8" s="683"/>
      <c r="M8" s="683"/>
      <c r="N8" s="683"/>
      <c r="O8" s="683"/>
      <c r="P8" s="683"/>
      <c r="Q8" s="683"/>
      <c r="R8" s="683"/>
      <c r="S8" s="683"/>
      <c r="T8" s="683"/>
      <c r="U8" s="683"/>
      <c r="V8" s="683"/>
      <c r="W8" s="683"/>
      <c r="X8" s="683"/>
    </row>
    <row r="9" spans="1:24" ht="18.75">
      <c r="A9" s="683"/>
      <c r="B9" s="683"/>
      <c r="C9" s="685" t="s">
        <v>2</v>
      </c>
      <c r="D9" s="686"/>
      <c r="E9" s="686"/>
      <c r="F9" s="686"/>
      <c r="G9" s="686"/>
      <c r="H9" s="687" t="str">
        <f>Model!A1</f>
        <v>The Allstate Corporation</v>
      </c>
      <c r="I9" s="686"/>
      <c r="J9" s="686"/>
      <c r="K9" s="686"/>
      <c r="L9" s="686"/>
      <c r="M9" s="796" t="s">
        <v>968</v>
      </c>
      <c r="N9" s="686"/>
      <c r="O9" s="686"/>
      <c r="Q9" s="683"/>
      <c r="R9" s="683"/>
      <c r="S9" s="683"/>
      <c r="T9" s="683"/>
      <c r="U9" s="683"/>
      <c r="V9" s="683"/>
      <c r="W9" s="683"/>
      <c r="X9" s="683"/>
    </row>
    <row r="10" spans="1:24" ht="18.75">
      <c r="A10" s="683"/>
      <c r="B10" s="683"/>
      <c r="C10" s="688"/>
      <c r="D10" s="683"/>
      <c r="E10" s="683"/>
      <c r="F10" s="683"/>
      <c r="G10" s="683"/>
      <c r="H10" s="683"/>
      <c r="I10" s="683"/>
      <c r="J10" s="683"/>
      <c r="K10" s="683"/>
      <c r="L10" s="683"/>
      <c r="M10" s="797" t="s">
        <v>969</v>
      </c>
      <c r="N10" s="683"/>
      <c r="O10" s="683"/>
      <c r="Q10" s="683"/>
      <c r="R10" s="683"/>
      <c r="S10" s="683"/>
      <c r="T10" s="683"/>
      <c r="U10" s="683"/>
      <c r="V10" s="683"/>
      <c r="W10" s="683"/>
      <c r="X10" s="683"/>
    </row>
    <row r="11" spans="1:24" ht="18.75">
      <c r="A11" s="683"/>
      <c r="B11" s="683"/>
      <c r="C11" s="685" t="s">
        <v>4</v>
      </c>
      <c r="D11" s="683"/>
      <c r="E11" s="683"/>
      <c r="F11" s="683"/>
      <c r="G11" s="683"/>
      <c r="H11" s="719">
        <f ca="1">OFFSET('Update Log'!$C$10,1,0,1,1)</f>
        <v>45595</v>
      </c>
      <c r="I11" s="683"/>
      <c r="J11" s="683"/>
      <c r="K11" s="683"/>
      <c r="L11" s="683"/>
      <c r="M11" s="683"/>
      <c r="N11" s="683"/>
      <c r="O11" s="683"/>
      <c r="Q11" s="683"/>
      <c r="R11" s="683"/>
      <c r="S11" s="683"/>
      <c r="T11" s="683"/>
      <c r="U11" s="683"/>
      <c r="V11" s="683"/>
      <c r="W11" s="683"/>
      <c r="X11" s="683"/>
    </row>
    <row r="12" spans="1:24" ht="18.75">
      <c r="A12" s="683"/>
      <c r="B12" s="683"/>
      <c r="C12" s="683"/>
      <c r="D12" s="683"/>
      <c r="E12" s="683"/>
      <c r="F12" s="683"/>
      <c r="G12" s="683"/>
      <c r="H12" s="690"/>
      <c r="I12" s="683"/>
      <c r="J12" s="683"/>
      <c r="K12" s="683"/>
      <c r="L12" s="683"/>
      <c r="M12" s="685" t="s">
        <v>3</v>
      </c>
      <c r="N12" s="683"/>
      <c r="O12" s="683"/>
      <c r="Q12" s="683"/>
      <c r="R12" s="683"/>
      <c r="S12" s="683"/>
      <c r="T12" s="683"/>
      <c r="U12" s="683"/>
      <c r="V12" s="683"/>
      <c r="W12" s="683"/>
      <c r="X12" s="683"/>
    </row>
    <row r="13" spans="1:24" ht="18.75">
      <c r="A13" s="683"/>
      <c r="B13" s="683"/>
      <c r="C13" s="685" t="s">
        <v>5</v>
      </c>
      <c r="D13" s="683"/>
      <c r="E13" s="683"/>
      <c r="F13" s="683"/>
      <c r="G13" s="683"/>
      <c r="H13" s="720" t="str">
        <f ca="1">OFFSET('Update Log'!$E$10,1,0,1,1)</f>
        <v>Quarterly (Earnings Report)</v>
      </c>
      <c r="I13" s="683"/>
      <c r="J13" s="683"/>
      <c r="K13" s="683"/>
      <c r="L13" s="683"/>
      <c r="M13" s="4"/>
      <c r="N13" s="3"/>
      <c r="O13" s="3"/>
      <c r="P13" s="2"/>
      <c r="Q13" s="683"/>
      <c r="R13" s="683"/>
      <c r="S13" s="683"/>
      <c r="T13" s="683"/>
      <c r="U13" s="683"/>
      <c r="V13" s="683"/>
      <c r="W13" s="683"/>
      <c r="X13" s="683"/>
    </row>
    <row r="14" spans="1:24" ht="15">
      <c r="A14" s="683"/>
      <c r="B14" s="683"/>
      <c r="C14" s="683"/>
      <c r="D14" s="683"/>
      <c r="E14" s="683"/>
      <c r="F14" s="683"/>
      <c r="G14" s="683"/>
      <c r="H14" s="683"/>
      <c r="I14" s="683"/>
      <c r="J14" s="683"/>
      <c r="K14" s="683"/>
      <c r="L14" s="683"/>
      <c r="M14" s="4"/>
      <c r="N14" s="3"/>
      <c r="O14" s="3"/>
      <c r="P14" s="2"/>
      <c r="Q14" s="683"/>
      <c r="R14" s="683"/>
      <c r="S14" s="683"/>
      <c r="T14" s="683"/>
      <c r="U14" s="683"/>
      <c r="V14" s="683"/>
      <c r="W14" s="683"/>
      <c r="X14" s="683"/>
    </row>
    <row r="15" spans="1:24" ht="18.75" customHeight="1">
      <c r="A15" s="683"/>
      <c r="B15" s="683"/>
      <c r="C15" s="685" t="s">
        <v>6</v>
      </c>
      <c r="D15" s="686"/>
      <c r="E15" s="686"/>
      <c r="F15" s="686"/>
      <c r="G15" s="686"/>
      <c r="H15" s="721" t="s">
        <v>7</v>
      </c>
      <c r="I15" s="683"/>
      <c r="J15" s="691"/>
      <c r="K15" s="683"/>
      <c r="L15" s="683"/>
      <c r="M15" s="4"/>
      <c r="N15" s="3"/>
      <c r="O15" s="3"/>
      <c r="P15" s="2"/>
      <c r="Q15" s="683"/>
      <c r="R15" s="683"/>
      <c r="S15" s="683"/>
      <c r="T15" s="683"/>
      <c r="U15" s="683"/>
      <c r="V15" s="683"/>
      <c r="W15" s="683"/>
      <c r="X15" s="683"/>
    </row>
    <row r="16" spans="1:24" ht="15" customHeight="1">
      <c r="A16" s="683"/>
      <c r="B16" s="683"/>
      <c r="C16" s="686"/>
      <c r="D16" s="692"/>
      <c r="E16" s="692"/>
      <c r="F16" s="692"/>
      <c r="G16" s="692"/>
      <c r="H16" s="693">
        <f>IF(FP.DataSourceName="Bloomberg",1,IF(FP.DataSourceName="Capital IQ",2,IF(FP.DataSourceName="FactSet",3,IF(FP.DataSourceName="Refinitiv",4))))</f>
        <v>1</v>
      </c>
      <c r="I16" s="694"/>
      <c r="J16" s="691"/>
      <c r="K16" s="683"/>
      <c r="L16" s="683"/>
      <c r="M16" s="4"/>
      <c r="N16" s="3"/>
      <c r="O16" s="3"/>
      <c r="P16" s="2"/>
      <c r="Q16" s="683"/>
      <c r="R16" s="683"/>
      <c r="S16" s="683"/>
      <c r="T16" s="683"/>
      <c r="U16" s="683"/>
      <c r="V16" s="683"/>
      <c r="W16" s="683"/>
      <c r="X16" s="683"/>
    </row>
    <row r="17" spans="1:24" s="59" customFormat="1" ht="18.75">
      <c r="A17" s="692"/>
      <c r="B17" s="692"/>
      <c r="C17" s="688"/>
      <c r="D17" s="692"/>
      <c r="E17" s="692"/>
      <c r="F17" s="692"/>
      <c r="G17" s="692"/>
      <c r="H17" s="692"/>
      <c r="I17" s="694"/>
      <c r="J17" s="691"/>
      <c r="K17" s="683"/>
      <c r="L17" s="683"/>
      <c r="M17" s="4"/>
      <c r="N17" s="1"/>
      <c r="O17" s="1"/>
      <c r="P17" s="882"/>
      <c r="Q17" s="692"/>
      <c r="R17" s="692"/>
      <c r="S17" s="692"/>
      <c r="T17" s="692"/>
      <c r="U17" s="692"/>
      <c r="V17" s="692"/>
      <c r="W17" s="683"/>
      <c r="X17" s="692"/>
    </row>
    <row r="18" spans="1:24" s="59" customFormat="1" ht="18.75" customHeight="1">
      <c r="A18" s="692"/>
      <c r="B18" s="692"/>
      <c r="C18" s="685" t="s">
        <v>8</v>
      </c>
      <c r="D18" s="686"/>
      <c r="E18" s="686"/>
      <c r="F18" s="686"/>
      <c r="G18" s="686"/>
      <c r="H18" s="721" t="s">
        <v>653</v>
      </c>
      <c r="I18" s="695"/>
      <c r="J18" s="695"/>
      <c r="K18" s="683"/>
      <c r="L18" s="683"/>
      <c r="M18" s="4"/>
      <c r="N18" s="1"/>
      <c r="O18" s="1"/>
      <c r="P18" s="882"/>
      <c r="Q18" s="692"/>
      <c r="R18" s="692"/>
      <c r="S18" s="692"/>
      <c r="T18" s="692"/>
      <c r="U18" s="692"/>
      <c r="V18" s="692"/>
      <c r="W18" s="683"/>
      <c r="X18" s="692"/>
    </row>
    <row r="19" spans="1:24" s="59" customFormat="1" ht="15">
      <c r="A19" s="692"/>
      <c r="B19" s="692"/>
      <c r="C19" s="686"/>
      <c r="D19" s="692"/>
      <c r="E19" s="692"/>
      <c r="F19" s="692"/>
      <c r="G19" s="692"/>
      <c r="H19" s="692"/>
      <c r="I19" s="694"/>
      <c r="J19" s="691"/>
      <c r="K19" s="683"/>
      <c r="L19" s="683"/>
      <c r="M19" s="4"/>
      <c r="N19" s="1"/>
      <c r="O19" s="1"/>
      <c r="P19" s="882"/>
      <c r="Q19" s="692"/>
      <c r="R19" s="692"/>
      <c r="S19" s="692"/>
      <c r="T19" s="692"/>
      <c r="U19" s="692"/>
      <c r="V19" s="692"/>
      <c r="W19" s="683"/>
      <c r="X19" s="692"/>
    </row>
    <row r="20" spans="1:24" s="59" customFormat="1" ht="18.75" customHeight="1">
      <c r="A20" s="692"/>
      <c r="B20" s="692"/>
      <c r="C20" s="696" t="s">
        <v>9</v>
      </c>
      <c r="D20" s="692"/>
      <c r="E20" s="692"/>
      <c r="F20" s="697">
        <v>45594</v>
      </c>
      <c r="G20" s="692"/>
      <c r="H20" s="722">
        <v>186.57</v>
      </c>
      <c r="I20" s="694"/>
      <c r="J20" s="691"/>
      <c r="K20" s="683"/>
      <c r="L20" s="683"/>
      <c r="M20" s="4"/>
      <c r="N20" s="1"/>
      <c r="O20" s="1"/>
      <c r="P20" s="882"/>
      <c r="Q20" s="692"/>
      <c r="R20" s="692"/>
      <c r="S20" s="692"/>
      <c r="T20" s="692"/>
      <c r="U20" s="692"/>
      <c r="V20" s="692"/>
      <c r="W20" s="683"/>
      <c r="X20" s="692"/>
    </row>
    <row r="21" spans="1:24" s="59" customFormat="1" ht="15">
      <c r="A21" s="692"/>
      <c r="B21" s="692"/>
      <c r="C21" s="692"/>
      <c r="D21" s="683"/>
      <c r="E21" s="683"/>
      <c r="F21" s="683"/>
      <c r="G21" s="683"/>
      <c r="H21" s="683"/>
      <c r="I21" s="683"/>
      <c r="J21" s="683"/>
      <c r="K21" s="683"/>
      <c r="L21" s="683"/>
      <c r="M21" s="683"/>
      <c r="N21" s="692"/>
      <c r="O21" s="692"/>
      <c r="P21" s="692"/>
      <c r="Q21" s="692"/>
      <c r="R21" s="692"/>
      <c r="S21" s="692"/>
      <c r="T21" s="692"/>
      <c r="U21" s="692"/>
      <c r="V21" s="692"/>
      <c r="W21" s="692"/>
      <c r="X21" s="692"/>
    </row>
    <row r="22" spans="1:24" ht="15.95" customHeight="1">
      <c r="A22" s="683"/>
      <c r="B22" s="683"/>
      <c r="C22" s="13" t="s">
        <v>294</v>
      </c>
      <c r="D22" s="12"/>
      <c r="E22" s="12"/>
      <c r="F22" s="12"/>
      <c r="G22" s="12"/>
      <c r="H22" s="12"/>
      <c r="I22" s="12"/>
      <c r="J22" s="12"/>
      <c r="K22" s="12"/>
      <c r="L22" s="12"/>
      <c r="M22" s="12"/>
      <c r="N22" s="12"/>
      <c r="O22" s="12"/>
      <c r="P22" s="11"/>
      <c r="Q22" s="683"/>
      <c r="R22" s="683"/>
      <c r="S22" s="683"/>
      <c r="T22" s="683"/>
      <c r="U22" s="683"/>
      <c r="V22" s="683"/>
      <c r="W22" s="683"/>
      <c r="X22" s="683"/>
    </row>
    <row r="23" spans="1:24" ht="15.95" customHeight="1">
      <c r="A23" s="683"/>
      <c r="B23" s="683"/>
      <c r="C23" s="10"/>
      <c r="D23" s="9"/>
      <c r="E23" s="9"/>
      <c r="F23" s="9"/>
      <c r="G23" s="9"/>
      <c r="H23" s="9"/>
      <c r="I23" s="9"/>
      <c r="J23" s="9"/>
      <c r="K23" s="9"/>
      <c r="L23" s="9"/>
      <c r="M23" s="9"/>
      <c r="N23" s="9"/>
      <c r="O23" s="9"/>
      <c r="P23" s="8"/>
      <c r="Q23" s="683"/>
      <c r="R23" s="683"/>
      <c r="S23" s="683"/>
      <c r="T23" s="683"/>
      <c r="U23" s="683"/>
      <c r="V23" s="683"/>
      <c r="W23" s="683"/>
      <c r="X23" s="683"/>
    </row>
    <row r="24" spans="1:24" ht="15.95" customHeight="1">
      <c r="A24" s="683"/>
      <c r="B24" s="683"/>
      <c r="C24" s="10"/>
      <c r="D24" s="9"/>
      <c r="E24" s="9"/>
      <c r="F24" s="9"/>
      <c r="G24" s="9"/>
      <c r="H24" s="9"/>
      <c r="I24" s="9"/>
      <c r="J24" s="9"/>
      <c r="K24" s="9"/>
      <c r="L24" s="9"/>
      <c r="M24" s="9"/>
      <c r="N24" s="9"/>
      <c r="O24" s="9"/>
      <c r="P24" s="8"/>
      <c r="Q24" s="683"/>
      <c r="R24" s="683"/>
      <c r="S24" s="683"/>
      <c r="T24" s="683"/>
      <c r="U24" s="683"/>
      <c r="V24" s="683"/>
      <c r="W24" s="683"/>
      <c r="X24" s="683"/>
    </row>
    <row r="25" spans="1:24" ht="15.95" customHeight="1">
      <c r="A25" s="683"/>
      <c r="B25" s="683"/>
      <c r="C25" s="10"/>
      <c r="D25" s="9"/>
      <c r="E25" s="9"/>
      <c r="F25" s="9"/>
      <c r="G25" s="9"/>
      <c r="H25" s="9"/>
      <c r="I25" s="9"/>
      <c r="J25" s="9"/>
      <c r="K25" s="9"/>
      <c r="L25" s="9"/>
      <c r="M25" s="9"/>
      <c r="N25" s="9"/>
      <c r="O25" s="9"/>
      <c r="P25" s="8"/>
      <c r="Q25" s="683"/>
      <c r="R25" s="683"/>
      <c r="S25" s="683"/>
      <c r="T25" s="683"/>
      <c r="U25" s="683"/>
      <c r="V25" s="683"/>
      <c r="W25" s="683"/>
      <c r="X25" s="683"/>
    </row>
    <row r="26" spans="1:24" ht="15.95" customHeight="1">
      <c r="A26" s="683"/>
      <c r="B26" s="683"/>
      <c r="C26" s="10"/>
      <c r="D26" s="9"/>
      <c r="E26" s="9"/>
      <c r="F26" s="9"/>
      <c r="G26" s="9"/>
      <c r="H26" s="9"/>
      <c r="I26" s="9"/>
      <c r="J26" s="9"/>
      <c r="K26" s="9"/>
      <c r="L26" s="9"/>
      <c r="M26" s="9"/>
      <c r="N26" s="9"/>
      <c r="O26" s="9"/>
      <c r="P26" s="8"/>
      <c r="Q26" s="683"/>
      <c r="R26" s="683"/>
      <c r="S26" s="683"/>
      <c r="T26" s="683"/>
      <c r="U26" s="683"/>
      <c r="V26" s="683"/>
      <c r="W26" s="683"/>
      <c r="X26" s="683"/>
    </row>
    <row r="27" spans="1:24" ht="15.95" customHeight="1">
      <c r="A27" s="683"/>
      <c r="B27" s="683"/>
      <c r="C27" s="10"/>
      <c r="D27" s="9"/>
      <c r="E27" s="9"/>
      <c r="F27" s="9"/>
      <c r="G27" s="9"/>
      <c r="H27" s="9"/>
      <c r="I27" s="9"/>
      <c r="J27" s="9"/>
      <c r="K27" s="9"/>
      <c r="L27" s="9"/>
      <c r="M27" s="9"/>
      <c r="N27" s="9"/>
      <c r="O27" s="9"/>
      <c r="P27" s="8"/>
      <c r="Q27" s="683"/>
      <c r="R27" s="683"/>
      <c r="S27" s="683"/>
      <c r="T27" s="683"/>
      <c r="U27" s="683"/>
      <c r="V27" s="683"/>
      <c r="W27" s="683"/>
      <c r="X27" s="683"/>
    </row>
    <row r="28" spans="1:24" ht="15.95" customHeight="1">
      <c r="A28" s="683"/>
      <c r="B28" s="683"/>
      <c r="C28" s="10"/>
      <c r="D28" s="9"/>
      <c r="E28" s="9"/>
      <c r="F28" s="9"/>
      <c r="G28" s="9"/>
      <c r="H28" s="9"/>
      <c r="I28" s="9"/>
      <c r="J28" s="9"/>
      <c r="K28" s="9"/>
      <c r="L28" s="9"/>
      <c r="M28" s="9"/>
      <c r="N28" s="9"/>
      <c r="O28" s="9"/>
      <c r="P28" s="8"/>
      <c r="Q28" s="683"/>
      <c r="R28" s="683"/>
      <c r="S28" s="683"/>
      <c r="T28" s="683"/>
      <c r="U28" s="683"/>
      <c r="V28" s="683"/>
      <c r="W28" s="683"/>
      <c r="X28" s="683"/>
    </row>
    <row r="29" spans="1:24" ht="15.95" customHeight="1">
      <c r="A29" s="683"/>
      <c r="B29" s="683"/>
      <c r="C29" s="10"/>
      <c r="D29" s="9"/>
      <c r="E29" s="9"/>
      <c r="F29" s="9"/>
      <c r="G29" s="9"/>
      <c r="H29" s="9"/>
      <c r="I29" s="9"/>
      <c r="J29" s="9"/>
      <c r="K29" s="9"/>
      <c r="L29" s="9"/>
      <c r="M29" s="9"/>
      <c r="N29" s="9"/>
      <c r="O29" s="9"/>
      <c r="P29" s="8"/>
      <c r="Q29" s="683"/>
      <c r="R29" s="683"/>
      <c r="S29" s="683"/>
      <c r="T29" s="683"/>
      <c r="U29" s="683"/>
      <c r="V29" s="683"/>
      <c r="W29" s="683"/>
      <c r="X29" s="683"/>
    </row>
    <row r="30" spans="1:24" ht="15.95" customHeight="1">
      <c r="A30" s="683"/>
      <c r="B30" s="683"/>
      <c r="C30" s="10"/>
      <c r="D30" s="9"/>
      <c r="E30" s="9"/>
      <c r="F30" s="9"/>
      <c r="G30" s="9"/>
      <c r="H30" s="9"/>
      <c r="I30" s="9"/>
      <c r="J30" s="9"/>
      <c r="K30" s="9"/>
      <c r="L30" s="9"/>
      <c r="M30" s="9"/>
      <c r="N30" s="9"/>
      <c r="O30" s="9"/>
      <c r="P30" s="8"/>
      <c r="Q30" s="683"/>
      <c r="R30" s="683"/>
      <c r="S30" s="683"/>
      <c r="T30" s="683"/>
      <c r="U30" s="683"/>
      <c r="V30" s="683"/>
      <c r="W30" s="683"/>
      <c r="X30" s="683"/>
    </row>
    <row r="31" spans="1:24" ht="15.95" customHeight="1">
      <c r="A31" s="683"/>
      <c r="B31" s="683"/>
      <c r="C31" s="10"/>
      <c r="D31" s="9"/>
      <c r="E31" s="9"/>
      <c r="F31" s="9"/>
      <c r="G31" s="9"/>
      <c r="H31" s="9"/>
      <c r="I31" s="9"/>
      <c r="J31" s="9"/>
      <c r="K31" s="9"/>
      <c r="L31" s="9"/>
      <c r="M31" s="9"/>
      <c r="N31" s="9"/>
      <c r="O31" s="9"/>
      <c r="P31" s="8"/>
      <c r="Q31" s="683"/>
      <c r="R31" s="683"/>
      <c r="S31" s="683"/>
      <c r="T31" s="683"/>
      <c r="U31" s="683"/>
      <c r="V31" s="683"/>
      <c r="W31" s="683"/>
      <c r="X31" s="683"/>
    </row>
    <row r="32" spans="1:24" ht="15.95" customHeight="1">
      <c r="A32" s="683"/>
      <c r="B32" s="683"/>
      <c r="C32" s="10"/>
      <c r="D32" s="9"/>
      <c r="E32" s="9"/>
      <c r="F32" s="9"/>
      <c r="G32" s="9"/>
      <c r="H32" s="9"/>
      <c r="I32" s="9"/>
      <c r="J32" s="9"/>
      <c r="K32" s="9"/>
      <c r="L32" s="9"/>
      <c r="M32" s="9"/>
      <c r="N32" s="9"/>
      <c r="O32" s="9"/>
      <c r="P32" s="8"/>
      <c r="Q32" s="683"/>
      <c r="R32" s="683"/>
      <c r="S32" s="683"/>
      <c r="T32" s="683"/>
      <c r="U32" s="683"/>
      <c r="V32" s="683"/>
      <c r="W32" s="683"/>
      <c r="X32" s="683"/>
    </row>
    <row r="33" spans="1:24" ht="15.95" customHeight="1">
      <c r="A33" s="683"/>
      <c r="B33" s="683"/>
      <c r="C33" s="10"/>
      <c r="D33" s="9"/>
      <c r="E33" s="9"/>
      <c r="F33" s="9"/>
      <c r="G33" s="9"/>
      <c r="H33" s="9"/>
      <c r="I33" s="9"/>
      <c r="J33" s="9"/>
      <c r="K33" s="9"/>
      <c r="L33" s="9"/>
      <c r="M33" s="9"/>
      <c r="N33" s="9"/>
      <c r="O33" s="9"/>
      <c r="P33" s="8"/>
      <c r="Q33" s="683"/>
      <c r="R33" s="683"/>
      <c r="S33" s="683"/>
      <c r="T33" s="683"/>
      <c r="U33" s="683"/>
      <c r="V33" s="683"/>
      <c r="W33" s="683"/>
      <c r="X33" s="683"/>
    </row>
    <row r="34" spans="1:24" ht="15.95" customHeight="1">
      <c r="A34" s="683"/>
      <c r="B34" s="683"/>
      <c r="C34" s="10"/>
      <c r="D34" s="9"/>
      <c r="E34" s="9"/>
      <c r="F34" s="9"/>
      <c r="G34" s="9"/>
      <c r="H34" s="9"/>
      <c r="I34" s="9"/>
      <c r="J34" s="9"/>
      <c r="K34" s="9"/>
      <c r="L34" s="9"/>
      <c r="M34" s="9"/>
      <c r="N34" s="9"/>
      <c r="O34" s="9"/>
      <c r="P34" s="8"/>
      <c r="Q34" s="683"/>
      <c r="R34" s="683"/>
      <c r="S34" s="683"/>
      <c r="T34" s="683"/>
      <c r="U34" s="683"/>
      <c r="V34" s="683"/>
      <c r="W34" s="683"/>
      <c r="X34" s="683"/>
    </row>
    <row r="35" spans="1:24" ht="15.95" customHeight="1">
      <c r="A35" s="683"/>
      <c r="B35" s="683"/>
      <c r="C35" s="10"/>
      <c r="D35" s="9"/>
      <c r="E35" s="9"/>
      <c r="F35" s="9"/>
      <c r="G35" s="9"/>
      <c r="H35" s="9"/>
      <c r="I35" s="9"/>
      <c r="J35" s="9"/>
      <c r="K35" s="9"/>
      <c r="L35" s="9"/>
      <c r="M35" s="9"/>
      <c r="N35" s="9"/>
      <c r="O35" s="9"/>
      <c r="P35" s="8"/>
      <c r="Q35" s="683"/>
      <c r="R35" s="683"/>
      <c r="S35" s="683"/>
      <c r="T35" s="683"/>
      <c r="U35" s="683"/>
      <c r="V35" s="683"/>
      <c r="W35" s="683"/>
      <c r="X35" s="683"/>
    </row>
    <row r="36" spans="1:24" ht="15.95" customHeight="1">
      <c r="A36" s="683"/>
      <c r="B36" s="683"/>
      <c r="C36" s="10"/>
      <c r="D36" s="9"/>
      <c r="E36" s="9"/>
      <c r="F36" s="9"/>
      <c r="G36" s="9"/>
      <c r="H36" s="9"/>
      <c r="I36" s="9"/>
      <c r="J36" s="9"/>
      <c r="K36" s="9"/>
      <c r="L36" s="9"/>
      <c r="M36" s="9"/>
      <c r="N36" s="9"/>
      <c r="O36" s="9"/>
      <c r="P36" s="8"/>
      <c r="Q36" s="683"/>
      <c r="R36" s="683"/>
      <c r="S36" s="683"/>
      <c r="T36" s="683"/>
      <c r="U36" s="683"/>
      <c r="V36" s="683"/>
      <c r="W36" s="683"/>
      <c r="X36" s="683"/>
    </row>
    <row r="37" spans="1:24" ht="15.95" customHeight="1">
      <c r="A37" s="683"/>
      <c r="B37" s="683"/>
      <c r="C37" s="10"/>
      <c r="D37" s="9"/>
      <c r="E37" s="9"/>
      <c r="F37" s="9"/>
      <c r="G37" s="9"/>
      <c r="H37" s="9"/>
      <c r="I37" s="9"/>
      <c r="J37" s="9"/>
      <c r="K37" s="9"/>
      <c r="L37" s="9"/>
      <c r="M37" s="9"/>
      <c r="N37" s="9"/>
      <c r="O37" s="9"/>
      <c r="P37" s="8"/>
      <c r="Q37" s="683"/>
      <c r="R37" s="683"/>
      <c r="S37" s="683"/>
      <c r="T37" s="683"/>
      <c r="U37" s="683"/>
      <c r="V37" s="683"/>
      <c r="W37" s="683"/>
      <c r="X37" s="683"/>
    </row>
    <row r="38" spans="1:24" ht="15.95" customHeight="1">
      <c r="A38" s="683"/>
      <c r="B38" s="683"/>
      <c r="C38" s="10"/>
      <c r="D38" s="9"/>
      <c r="E38" s="9"/>
      <c r="F38" s="9"/>
      <c r="G38" s="9"/>
      <c r="H38" s="9"/>
      <c r="I38" s="9"/>
      <c r="J38" s="9"/>
      <c r="K38" s="9"/>
      <c r="L38" s="9"/>
      <c r="M38" s="9"/>
      <c r="N38" s="9"/>
      <c r="O38" s="9"/>
      <c r="P38" s="8"/>
      <c r="Q38" s="683"/>
      <c r="R38" s="683"/>
      <c r="S38" s="683"/>
      <c r="T38" s="683"/>
      <c r="U38" s="683"/>
      <c r="V38" s="683"/>
      <c r="W38" s="683"/>
      <c r="X38" s="683"/>
    </row>
    <row r="39" spans="1:24" ht="15.95" customHeight="1">
      <c r="A39" s="683"/>
      <c r="B39" s="683"/>
      <c r="C39" s="10"/>
      <c r="D39" s="9"/>
      <c r="E39" s="9"/>
      <c r="F39" s="9"/>
      <c r="G39" s="9"/>
      <c r="H39" s="9"/>
      <c r="I39" s="9"/>
      <c r="J39" s="9"/>
      <c r="K39" s="9"/>
      <c r="L39" s="9"/>
      <c r="M39" s="9"/>
      <c r="N39" s="9"/>
      <c r="O39" s="9"/>
      <c r="P39" s="8"/>
      <c r="Q39" s="683"/>
      <c r="R39" s="683"/>
      <c r="S39" s="683"/>
      <c r="T39" s="683"/>
      <c r="U39" s="683"/>
      <c r="V39" s="683"/>
      <c r="W39" s="683"/>
      <c r="X39" s="683"/>
    </row>
    <row r="40" spans="1:24" ht="15.95" customHeight="1">
      <c r="A40" s="683"/>
      <c r="B40" s="683"/>
      <c r="C40" s="10"/>
      <c r="D40" s="9"/>
      <c r="E40" s="9"/>
      <c r="F40" s="9"/>
      <c r="G40" s="9"/>
      <c r="H40" s="9"/>
      <c r="I40" s="9"/>
      <c r="J40" s="9"/>
      <c r="K40" s="9"/>
      <c r="L40" s="9"/>
      <c r="M40" s="9"/>
      <c r="N40" s="9"/>
      <c r="O40" s="9"/>
      <c r="P40" s="8"/>
      <c r="Q40" s="683"/>
      <c r="R40" s="683"/>
      <c r="S40" s="683"/>
      <c r="T40" s="683"/>
      <c r="U40" s="683"/>
      <c r="V40" s="683"/>
      <c r="W40" s="683"/>
      <c r="X40" s="683"/>
    </row>
    <row r="41" spans="1:24" ht="15.95" customHeight="1">
      <c r="A41" s="683"/>
      <c r="B41" s="683"/>
      <c r="C41" s="7"/>
      <c r="D41" s="6"/>
      <c r="E41" s="6"/>
      <c r="F41" s="6"/>
      <c r="G41" s="6"/>
      <c r="H41" s="6"/>
      <c r="I41" s="6"/>
      <c r="J41" s="6"/>
      <c r="K41" s="6"/>
      <c r="L41" s="6"/>
      <c r="M41" s="6"/>
      <c r="N41" s="6"/>
      <c r="O41" s="6"/>
      <c r="P41" s="5"/>
      <c r="Q41" s="683"/>
      <c r="R41" s="683"/>
      <c r="S41" s="683"/>
      <c r="T41" s="683"/>
      <c r="U41" s="683"/>
      <c r="V41" s="683"/>
      <c r="W41" s="683"/>
      <c r="X41" s="683"/>
    </row>
    <row r="42" spans="1:24" ht="15">
      <c r="A42" s="683"/>
      <c r="B42" s="683"/>
      <c r="C42" s="683"/>
      <c r="D42" s="683"/>
      <c r="E42" s="683"/>
      <c r="F42" s="683"/>
      <c r="G42" s="683"/>
      <c r="H42" s="683"/>
      <c r="I42" s="683"/>
      <c r="J42" s="683"/>
      <c r="K42" s="683"/>
      <c r="L42" s="683"/>
      <c r="M42" s="683"/>
      <c r="N42" s="683"/>
      <c r="O42" s="683"/>
      <c r="P42" s="683"/>
      <c r="Q42" s="683"/>
      <c r="R42" s="683"/>
      <c r="S42" s="683"/>
      <c r="T42" s="683"/>
      <c r="U42" s="683"/>
      <c r="V42" s="683"/>
      <c r="W42" s="683"/>
      <c r="X42" s="683"/>
    </row>
    <row r="43" spans="1:24" ht="15">
      <c r="A43" s="683"/>
      <c r="B43" s="683"/>
      <c r="C43" s="683"/>
      <c r="D43" s="683"/>
      <c r="E43" s="683"/>
      <c r="F43" s="683"/>
      <c r="G43" s="683"/>
      <c r="H43" s="683"/>
      <c r="I43" s="683"/>
      <c r="J43" s="683"/>
      <c r="K43" s="683"/>
      <c r="L43" s="683"/>
      <c r="M43" s="683"/>
      <c r="N43" s="683"/>
      <c r="O43" s="683"/>
      <c r="P43" s="683"/>
      <c r="Q43" s="683"/>
      <c r="R43" s="683"/>
      <c r="S43" s="683"/>
      <c r="T43" s="683"/>
      <c r="U43" s="683"/>
      <c r="V43" s="683"/>
      <c r="W43" s="683"/>
      <c r="X43" s="683"/>
    </row>
    <row r="44" spans="1:24" ht="15">
      <c r="A44" s="683"/>
      <c r="B44" s="683"/>
      <c r="C44" s="683"/>
      <c r="D44" s="683"/>
      <c r="E44" s="683"/>
      <c r="F44" s="683"/>
      <c r="G44" s="683"/>
      <c r="H44" s="683"/>
      <c r="I44" s="683"/>
      <c r="J44" s="683"/>
      <c r="K44" s="683"/>
      <c r="L44" s="683"/>
      <c r="M44" s="683"/>
      <c r="N44" s="683"/>
      <c r="O44" s="683"/>
      <c r="P44" s="683"/>
      <c r="Q44" s="683"/>
      <c r="R44" s="683"/>
      <c r="S44" s="683"/>
      <c r="T44" s="683"/>
      <c r="U44" s="683"/>
      <c r="V44" s="683"/>
      <c r="W44" s="683"/>
      <c r="X44" s="683"/>
    </row>
    <row r="45" spans="1:24" ht="15">
      <c r="A45" s="683"/>
      <c r="B45" s="683"/>
      <c r="C45" s="683"/>
      <c r="D45" s="683"/>
      <c r="E45" s="683"/>
      <c r="F45" s="683"/>
      <c r="G45" s="683"/>
      <c r="H45" s="683"/>
      <c r="I45" s="683"/>
      <c r="J45" s="683"/>
      <c r="K45" s="683"/>
      <c r="L45" s="683"/>
      <c r="M45" s="683"/>
      <c r="N45" s="683"/>
      <c r="O45" s="683"/>
      <c r="P45" s="683"/>
      <c r="Q45" s="683"/>
      <c r="R45" s="683"/>
      <c r="S45" s="683"/>
      <c r="T45" s="683"/>
      <c r="U45" s="683"/>
      <c r="V45" s="683"/>
      <c r="W45" s="683"/>
      <c r="X45" s="683"/>
    </row>
    <row r="46" spans="1:24" ht="15">
      <c r="A46" s="683"/>
      <c r="B46" s="683"/>
      <c r="C46" s="683"/>
      <c r="D46" s="683"/>
      <c r="E46" s="683"/>
      <c r="F46" s="683"/>
      <c r="G46" s="683"/>
      <c r="H46" s="683"/>
      <c r="I46" s="683"/>
      <c r="J46" s="683"/>
      <c r="K46" s="683"/>
      <c r="L46" s="683"/>
      <c r="M46" s="683"/>
      <c r="N46" s="683"/>
      <c r="O46" s="683"/>
      <c r="P46" s="683"/>
      <c r="Q46" s="683"/>
      <c r="R46" s="683"/>
      <c r="S46" s="683"/>
      <c r="T46" s="683"/>
      <c r="U46" s="683"/>
      <c r="V46" s="683"/>
      <c r="W46" s="683"/>
      <c r="X46" s="683"/>
    </row>
    <row r="47" spans="1:24" ht="15">
      <c r="A47" s="683"/>
      <c r="B47" s="683"/>
      <c r="C47" s="683"/>
      <c r="D47" s="683"/>
      <c r="E47" s="683"/>
      <c r="F47" s="683"/>
      <c r="G47" s="683"/>
      <c r="H47" s="683"/>
      <c r="I47" s="683"/>
      <c r="J47" s="683"/>
      <c r="K47" s="683"/>
      <c r="L47" s="683"/>
      <c r="M47" s="683"/>
      <c r="N47" s="683"/>
      <c r="O47" s="683"/>
      <c r="P47" s="683"/>
      <c r="Q47" s="683"/>
      <c r="R47" s="683"/>
      <c r="S47" s="683"/>
      <c r="T47" s="683"/>
      <c r="U47" s="683"/>
      <c r="V47" s="683"/>
      <c r="W47" s="683"/>
      <c r="X47" s="683"/>
    </row>
    <row r="48" spans="1:24" ht="15">
      <c r="A48" s="683"/>
      <c r="B48" s="683"/>
      <c r="C48" s="683"/>
      <c r="D48" s="683"/>
      <c r="E48" s="683"/>
      <c r="F48" s="683"/>
      <c r="G48" s="683"/>
      <c r="H48" s="683"/>
      <c r="I48" s="683"/>
      <c r="J48" s="683"/>
      <c r="K48" s="683"/>
      <c r="L48" s="683"/>
      <c r="M48" s="683"/>
      <c r="N48" s="683"/>
      <c r="O48" s="683"/>
      <c r="P48" s="683"/>
      <c r="Q48" s="683"/>
      <c r="R48" s="683"/>
      <c r="S48" s="683"/>
      <c r="T48" s="683"/>
      <c r="U48" s="683"/>
      <c r="V48" s="683"/>
      <c r="W48" s="683"/>
      <c r="X48" s="683"/>
    </row>
    <row r="49" spans="1:24" ht="15">
      <c r="A49" s="683"/>
      <c r="B49" s="683"/>
      <c r="C49" s="683"/>
      <c r="D49" s="683"/>
      <c r="E49" s="683"/>
      <c r="F49" s="683"/>
      <c r="G49" s="683"/>
      <c r="H49" s="683"/>
      <c r="I49" s="683"/>
      <c r="J49" s="683"/>
      <c r="K49" s="683"/>
      <c r="L49" s="683"/>
      <c r="M49" s="683"/>
      <c r="N49" s="683"/>
      <c r="O49" s="683"/>
      <c r="P49" s="683"/>
      <c r="Q49" s="683"/>
      <c r="R49" s="683"/>
      <c r="S49" s="683"/>
      <c r="T49" s="683"/>
      <c r="U49" s="683"/>
      <c r="V49" s="683"/>
      <c r="W49" s="683"/>
      <c r="X49" s="683"/>
    </row>
    <row r="50" spans="1:24" ht="15">
      <c r="A50" s="683"/>
      <c r="B50" s="683"/>
      <c r="C50" s="683"/>
      <c r="D50" s="683"/>
      <c r="E50" s="683"/>
      <c r="F50" s="683"/>
      <c r="G50" s="683"/>
      <c r="H50" s="683"/>
      <c r="I50" s="683"/>
      <c r="J50" s="683"/>
      <c r="K50" s="683"/>
      <c r="L50" s="683"/>
      <c r="M50" s="683"/>
      <c r="N50" s="683"/>
      <c r="O50" s="683"/>
      <c r="P50" s="683"/>
      <c r="Q50" s="683"/>
      <c r="R50" s="683"/>
      <c r="S50" s="683"/>
      <c r="T50" s="683"/>
      <c r="U50" s="683"/>
      <c r="V50" s="683"/>
      <c r="W50" s="683"/>
      <c r="X50" s="683"/>
    </row>
    <row r="51" spans="1:24" ht="15">
      <c r="A51" s="683"/>
      <c r="B51" s="683"/>
      <c r="C51" s="683"/>
      <c r="D51" s="683"/>
      <c r="E51" s="683"/>
      <c r="F51" s="683"/>
      <c r="G51" s="683"/>
      <c r="H51" s="683"/>
      <c r="I51" s="683"/>
      <c r="J51" s="683"/>
      <c r="K51" s="683"/>
      <c r="L51" s="683"/>
      <c r="M51" s="683"/>
      <c r="N51" s="683"/>
      <c r="O51" s="683"/>
      <c r="P51" s="683"/>
      <c r="Q51" s="683"/>
      <c r="R51" s="683"/>
      <c r="S51" s="683"/>
      <c r="T51" s="683"/>
      <c r="U51" s="683"/>
      <c r="V51" s="683"/>
      <c r="W51" s="683"/>
      <c r="X51" s="683"/>
    </row>
    <row r="52" spans="1:24" ht="15">
      <c r="A52" s="683"/>
      <c r="B52" s="683"/>
      <c r="C52" s="683"/>
      <c r="D52" s="683"/>
      <c r="E52" s="683"/>
      <c r="F52" s="683"/>
      <c r="G52" s="683"/>
      <c r="H52" s="683"/>
      <c r="I52" s="683"/>
      <c r="J52" s="683"/>
      <c r="K52" s="683"/>
      <c r="L52" s="683"/>
      <c r="M52" s="683"/>
      <c r="N52" s="683"/>
      <c r="O52" s="683"/>
      <c r="P52" s="683"/>
      <c r="Q52" s="683"/>
      <c r="R52" s="683"/>
      <c r="S52" s="683"/>
      <c r="T52" s="683"/>
      <c r="U52" s="683"/>
      <c r="V52" s="683"/>
      <c r="W52" s="683"/>
      <c r="X52" s="683"/>
    </row>
    <row r="53" spans="1:24" ht="15">
      <c r="A53" s="683"/>
      <c r="B53" s="683"/>
      <c r="C53" s="683"/>
      <c r="D53" s="683"/>
      <c r="E53" s="683"/>
      <c r="F53" s="683"/>
      <c r="G53" s="683"/>
      <c r="H53" s="683"/>
      <c r="I53" s="683"/>
      <c r="J53" s="683"/>
      <c r="K53" s="683"/>
      <c r="L53" s="683"/>
      <c r="M53" s="683"/>
      <c r="N53" s="683"/>
      <c r="O53" s="683"/>
      <c r="P53" s="683"/>
      <c r="Q53" s="683"/>
      <c r="R53" s="683"/>
      <c r="S53" s="683"/>
      <c r="T53" s="683"/>
      <c r="U53" s="683"/>
      <c r="V53" s="683"/>
      <c r="W53" s="683"/>
      <c r="X53" s="683"/>
    </row>
    <row r="54" spans="1:24" ht="15">
      <c r="A54" s="683"/>
      <c r="B54" s="683"/>
      <c r="C54" s="683"/>
      <c r="D54" s="683"/>
      <c r="E54" s="683"/>
      <c r="F54" s="683"/>
      <c r="G54" s="683"/>
      <c r="H54" s="683"/>
      <c r="I54" s="683"/>
      <c r="J54" s="683"/>
      <c r="K54" s="683"/>
      <c r="L54" s="683"/>
      <c r="M54" s="683"/>
      <c r="N54" s="683"/>
      <c r="O54" s="683"/>
      <c r="P54" s="683"/>
      <c r="Q54" s="683"/>
      <c r="R54" s="683"/>
      <c r="S54" s="683"/>
      <c r="T54" s="683"/>
      <c r="U54" s="683"/>
      <c r="V54" s="683"/>
      <c r="W54" s="683"/>
      <c r="X54" s="683"/>
    </row>
    <row r="55" spans="1:24" ht="15">
      <c r="A55" s="683"/>
      <c r="B55" s="683"/>
      <c r="C55" s="683"/>
      <c r="D55" s="683"/>
      <c r="E55" s="683"/>
      <c r="F55" s="683"/>
      <c r="G55" s="683"/>
      <c r="H55" s="683"/>
      <c r="I55" s="683"/>
      <c r="J55" s="683"/>
      <c r="K55" s="683"/>
      <c r="L55" s="683"/>
      <c r="M55" s="683"/>
      <c r="N55" s="683"/>
      <c r="O55" s="683"/>
      <c r="P55" s="683"/>
      <c r="Q55" s="683"/>
      <c r="R55" s="683"/>
      <c r="S55" s="683"/>
      <c r="T55" s="683"/>
      <c r="U55" s="683"/>
      <c r="V55" s="683"/>
      <c r="W55" s="683"/>
      <c r="X55" s="683"/>
    </row>
    <row r="56" spans="1:24" ht="15">
      <c r="A56" s="683"/>
      <c r="B56" s="683"/>
      <c r="C56" s="683"/>
      <c r="D56" s="683"/>
      <c r="E56" s="683"/>
      <c r="F56" s="683"/>
      <c r="G56" s="683"/>
      <c r="H56" s="683"/>
      <c r="I56" s="683"/>
      <c r="J56" s="683"/>
      <c r="K56" s="683"/>
      <c r="L56" s="683"/>
      <c r="M56" s="683"/>
      <c r="N56" s="683"/>
      <c r="O56" s="683"/>
      <c r="P56" s="683"/>
      <c r="Q56" s="683"/>
      <c r="R56" s="683"/>
      <c r="S56" s="683"/>
      <c r="T56" s="683"/>
      <c r="U56" s="683"/>
      <c r="V56" s="683"/>
      <c r="W56" s="683"/>
      <c r="X56" s="683"/>
    </row>
    <row r="57" spans="1:24" ht="15">
      <c r="A57" s="683"/>
      <c r="B57" s="683"/>
      <c r="C57" s="683"/>
      <c r="D57" s="683"/>
      <c r="E57" s="683"/>
      <c r="F57" s="683"/>
      <c r="G57" s="683"/>
      <c r="H57" s="683"/>
      <c r="I57" s="683"/>
      <c r="J57" s="683"/>
      <c r="K57" s="683"/>
      <c r="L57" s="683"/>
      <c r="M57" s="683"/>
      <c r="N57" s="683"/>
      <c r="O57" s="683"/>
      <c r="P57" s="683"/>
      <c r="Q57" s="683"/>
      <c r="R57" s="683"/>
      <c r="S57" s="683"/>
      <c r="T57" s="683"/>
      <c r="U57" s="683"/>
      <c r="V57" s="683"/>
      <c r="W57" s="683"/>
      <c r="X57" s="683"/>
    </row>
    <row r="67" spans="34:34" ht="15">
      <c r="AH67" s="726"/>
    </row>
  </sheetData>
  <mergeCells count="4">
    <mergeCell ref="F8:K8"/>
    <mergeCell ref="C22:P41"/>
    <mergeCell ref="M13:P20"/>
    <mergeCell ref="M7:O7"/>
  </mergeCells>
  <conditionalFormatting sqref="C20:H20">
    <cfRule type="expression" priority="14" dxfId="10">
      <formula>AND(FP.RealTimeToggle="ON",MO.RealTime="ON")</formula>
    </cfRule>
  </conditionalFormatting>
  <dataValidations count="3">
    <dataValidation type="list" allowBlank="1" showInputMessage="1" showErrorMessage="1" sqref="H18">
      <formula1>"ON, OFF"</formula1>
    </dataValidation>
    <dataValidation allowBlank="1" showInputMessage="1" showErrorMessage="1" sqref="H16"/>
    <dataValidation type="list" allowBlank="1" showInputMessage="1" showErrorMessage="1" sqref="H15">
      <formula1>"Bloomberg, Capital IQ, FactSet, Refinitiv"</formula1>
    </dataValidation>
  </dataValidations>
  <hyperlinks>
    <hyperlink ref="M7" r:id="rId1" tooltip="Click to directly email Canalyst support" display="support@tegus.com"/>
    <hyperlink ref="M7:O7" r:id="rId2" tooltip="Click to directly email Canalyst support" display="support@tegus.com"/>
    <hyperlink ref="M10" r:id="rId3" display="Tegus Excel Add-in"/>
  </hyperlinks>
  <pageMargins left="0.7" right="0.7" top="0.75" bottom="0.75" header="0.3" footer="0.3"/>
  <pageSetup orientation="portrait" paperSize="1" scale="45" r:id="rId5"/>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5203AC2-D7B5-42CC-B44B-A96803062E5D}">
  <sheetPr codeName="Sheet2">
    <pageSetUpPr fitToPage="1"/>
  </sheetPr>
  <dimension ref="A1:BS1155"/>
  <sheetViews>
    <sheetView showGridLines="0" zoomScale="85" zoomScaleNormal="85" workbookViewId="0" topLeftCell="A1">
      <pane xSplit="2" ySplit="5" topLeftCell="AZ6" activePane="bottomRight" state="frozen"/>
      <selection pane="topLeft" activeCell="A1" sqref="A1"/>
      <selection pane="bottomLeft" activeCell="A6" sqref="A6"/>
      <selection pane="topRight" activeCell="C1" sqref="C1"/>
      <selection pane="bottomRight" activeCell="A1" sqref="A1"/>
    </sheetView>
  </sheetViews>
  <sheetFormatPr defaultColWidth="9.144285714285713" defaultRowHeight="15" outlineLevelRow="2" outlineLevelCol="1"/>
  <cols>
    <col min="1" max="1" width="50.714285714285715" style="39" customWidth="1"/>
    <col min="2" max="7" width="10.714285714285714" style="39" customWidth="1"/>
    <col min="8" max="11" width="10.714285714285714" style="39" hidden="1" customWidth="1" outlineLevel="1"/>
    <col min="12" max="12" width="10.714285714285714" style="39" customWidth="1" collapsed="1"/>
    <col min="13" max="16" width="10.714285714285714" style="39" hidden="1" customWidth="1" outlineLevel="1"/>
    <col min="17" max="17" width="10.714285714285714" style="39" customWidth="1" collapsed="1"/>
    <col min="18" max="21" width="10.714285714285714" style="39" hidden="1" customWidth="1" outlineLevel="1"/>
    <col min="22" max="22" width="10.714285714285714" style="39" customWidth="1" collapsed="1"/>
    <col min="23" max="26" width="10.714285714285714" style="39" hidden="1" customWidth="1" outlineLevel="1"/>
    <col min="27" max="27" width="10.714285714285714" style="39" customWidth="1" collapsed="1"/>
    <col min="28" max="31" width="10.714285714285714" style="39" hidden="1" customWidth="1" outlineLevel="1"/>
    <col min="32" max="32" width="10.714285714285714" style="39" customWidth="1" collapsed="1"/>
    <col min="33" max="36" width="10.714285714285714" style="39" hidden="1" customWidth="1" outlineLevel="1"/>
    <col min="37" max="37" width="10.714285714285714" style="39" customWidth="1" collapsed="1"/>
    <col min="38" max="41" width="10.714285714285714" style="39" hidden="1" customWidth="1" outlineLevel="1"/>
    <col min="42" max="42" width="10.714285714285714" style="39" customWidth="1" collapsed="1"/>
    <col min="43" max="46" width="10.714285714285714" style="39" hidden="1" customWidth="1" outlineLevel="1"/>
    <col min="47" max="47" width="10.714285714285714" style="39" collapsed="1"/>
    <col min="48" max="51" width="10.714285714285714" style="39" hidden="1" customWidth="1" outlineLevel="1"/>
    <col min="52" max="52" width="10.714285714285714" style="39" customWidth="1" collapsed="1"/>
    <col min="53" max="56" width="10.714285714285714" style="39" customWidth="1" outlineLevel="1"/>
    <col min="57" max="57" width="10.714285714285714" style="39" customWidth="1"/>
    <col min="58" max="61" width="10.714285714285714" style="39" customWidth="1" outlineLevel="1"/>
    <col min="62" max="62" width="10.714285714285714" style="39" customWidth="1"/>
    <col min="63" max="66" width="10.714285714285714" style="39" customWidth="1" outlineLevel="1"/>
    <col min="67" max="70" width="10.714285714285714" style="39" customWidth="1"/>
    <col min="71" max="71" width="8.857142857142858" style="39" customWidth="1"/>
    <col min="72" max="16384" width="9.142857142857142" style="39"/>
  </cols>
  <sheetData>
    <row r="1" spans="1:71" s="22" customFormat="1" ht="28.5">
      <c r="A1" s="37" t="s">
        <v>10</v>
      </c>
      <c r="B1" s="819"/>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819"/>
      <c r="AN1" s="819"/>
      <c r="AO1" s="819"/>
      <c r="AP1" s="819"/>
      <c r="AQ1" s="819"/>
      <c r="AR1" s="819"/>
      <c r="AS1" s="819"/>
      <c r="AT1" s="819"/>
      <c r="AU1" s="819"/>
      <c r="AV1" s="819"/>
      <c r="AW1" s="819"/>
      <c r="AX1" s="819"/>
      <c r="AY1" s="819"/>
      <c r="AZ1" s="819"/>
      <c r="BA1" s="819"/>
      <c r="BB1" s="819"/>
      <c r="BC1" s="819"/>
      <c r="BD1" s="819"/>
      <c r="BE1" s="819"/>
      <c r="BF1" s="819"/>
      <c r="BG1" s="819"/>
      <c r="BH1" s="820"/>
      <c r="BI1" s="819"/>
      <c r="BJ1" s="819"/>
      <c r="BK1" s="819"/>
      <c r="BL1" s="819"/>
      <c r="BM1" s="819"/>
      <c r="BN1" s="819"/>
      <c r="BO1" s="819"/>
      <c r="BP1" s="819"/>
      <c r="BQ1" s="819"/>
      <c r="BR1" s="819"/>
      <c r="BS1" s="822"/>
    </row>
    <row r="2" spans="1:71" s="40" customFormat="1" ht="15">
      <c r="A2" s="459" t="str">
        <f>CHOOSE(MO.DataSourceIndex,MO.Ticker.Bloomberg,MO.Ticker.CapIQ,MO.Ticker.FactSet,MO.Ticker.Thomson)</f>
        <v>ALL US</v>
      </c>
      <c r="B2" s="471"/>
      <c r="C2" s="254">
        <f>EOMONTH(C4,-12)</f>
        <v>39813</v>
      </c>
      <c r="D2" s="472"/>
      <c r="E2" s="472"/>
      <c r="F2" s="472"/>
      <c r="G2" s="472"/>
      <c r="H2" s="472"/>
      <c r="I2" s="472"/>
      <c r="J2" s="472"/>
      <c r="K2" s="472"/>
      <c r="L2" s="472"/>
      <c r="M2" s="472"/>
      <c r="N2" s="472"/>
      <c r="O2" s="472"/>
      <c r="P2" s="472"/>
      <c r="Q2" s="472"/>
      <c r="R2" s="472"/>
      <c r="S2" s="472"/>
      <c r="T2" s="472"/>
      <c r="U2" s="472"/>
      <c r="V2" s="472"/>
      <c r="W2" s="644" t="s">
        <v>355</v>
      </c>
      <c r="X2" s="644" t="s">
        <v>355</v>
      </c>
      <c r="Y2" s="644" t="s">
        <v>355</v>
      </c>
      <c r="Z2" s="644" t="s">
        <v>355</v>
      </c>
      <c r="AA2" s="644" t="s">
        <v>355</v>
      </c>
      <c r="AB2" s="472"/>
      <c r="AC2" s="472"/>
      <c r="AD2" s="472"/>
      <c r="AE2" s="472"/>
      <c r="AF2" s="472"/>
      <c r="AG2" s="472"/>
      <c r="AH2" s="472"/>
      <c r="AI2" s="472"/>
      <c r="AJ2" s="472"/>
      <c r="AK2" s="472"/>
      <c r="AL2" s="643" t="s">
        <v>671</v>
      </c>
      <c r="AM2" s="643" t="s">
        <v>671</v>
      </c>
      <c r="AN2" s="643" t="s">
        <v>671</v>
      </c>
      <c r="AO2" s="643" t="s">
        <v>671</v>
      </c>
      <c r="AP2" s="643" t="s">
        <v>671</v>
      </c>
      <c r="AQ2" s="472"/>
      <c r="AR2" s="472"/>
      <c r="AS2" s="472"/>
      <c r="AT2" s="472"/>
      <c r="AU2" s="472"/>
      <c r="AV2" s="643" t="s">
        <v>671</v>
      </c>
      <c r="AW2" s="643" t="s">
        <v>671</v>
      </c>
      <c r="AX2" s="643" t="s">
        <v>671</v>
      </c>
      <c r="AY2" s="643" t="s">
        <v>671</v>
      </c>
      <c r="AZ2" s="643" t="s">
        <v>671</v>
      </c>
      <c r="BA2" s="472"/>
      <c r="BB2" s="643"/>
      <c r="BC2" s="643"/>
      <c r="BD2" s="643"/>
      <c r="BE2" s="643"/>
      <c r="BF2" s="472"/>
      <c r="BG2" s="643"/>
      <c r="BH2" s="800"/>
      <c r="BI2" s="472"/>
      <c r="BJ2" s="472"/>
      <c r="BK2" s="472"/>
      <c r="BL2" s="472"/>
      <c r="BM2" s="472"/>
      <c r="BN2" s="472"/>
      <c r="BO2" s="472"/>
      <c r="BP2" s="472"/>
      <c r="BQ2" s="472"/>
      <c r="BR2" s="472"/>
      <c r="BS2" s="309"/>
    </row>
    <row r="3" spans="1:71" s="23" customFormat="1" ht="15">
      <c r="A3" s="460" t="str">
        <f ca="1">HP.TradeCurrency</f>
        <v>USD</v>
      </c>
      <c r="B3" s="461">
        <f ca="1">IF(MO.RealTime="OFF",MO.LastPriceHardcoded,MO.LastPriceFormula)</f>
        <v>186.57</v>
      </c>
      <c r="C3" s="964">
        <f>C4-C2</f>
        <v>365</v>
      </c>
      <c r="D3" s="964">
        <f t="shared" si="0" ref="D3:K3">D4-C4</f>
        <v>365</v>
      </c>
      <c r="E3" s="964">
        <f t="shared" si="0"/>
        <v>365</v>
      </c>
      <c r="F3" s="964">
        <f t="shared" si="0"/>
        <v>366</v>
      </c>
      <c r="G3" s="964">
        <f t="shared" si="0"/>
        <v>365</v>
      </c>
      <c r="H3" s="38">
        <f t="shared" si="0"/>
        <v>90</v>
      </c>
      <c r="I3" s="38">
        <f t="shared" si="0"/>
        <v>91</v>
      </c>
      <c r="J3" s="38">
        <f t="shared" si="0"/>
        <v>92</v>
      </c>
      <c r="K3" s="38">
        <f t="shared" si="0"/>
        <v>92</v>
      </c>
      <c r="L3" s="964">
        <f>L4-G4</f>
        <v>365</v>
      </c>
      <c r="M3" s="38">
        <f>M4-L4</f>
        <v>90</v>
      </c>
      <c r="N3" s="38">
        <f>N4-M4</f>
        <v>91</v>
      </c>
      <c r="O3" s="38">
        <f>O4-N4</f>
        <v>92</v>
      </c>
      <c r="P3" s="38">
        <f>P4-O4</f>
        <v>92</v>
      </c>
      <c r="Q3" s="964">
        <f>Q4-L4</f>
        <v>365</v>
      </c>
      <c r="R3" s="38">
        <f>R4-Q4</f>
        <v>91</v>
      </c>
      <c r="S3" s="38">
        <f>S4-R4</f>
        <v>91</v>
      </c>
      <c r="T3" s="38">
        <f>T4-S4</f>
        <v>92</v>
      </c>
      <c r="U3" s="38">
        <f>U4-T4</f>
        <v>92</v>
      </c>
      <c r="V3" s="964">
        <f>V4-Q4</f>
        <v>366</v>
      </c>
      <c r="W3" s="38">
        <f>W4-V4</f>
        <v>90</v>
      </c>
      <c r="X3" s="38">
        <f>X4-W4</f>
        <v>91</v>
      </c>
      <c r="Y3" s="38">
        <f>Y4-X4</f>
        <v>92</v>
      </c>
      <c r="Z3" s="38">
        <f>Z4-Y4</f>
        <v>92</v>
      </c>
      <c r="AA3" s="964">
        <f>AA4-V4</f>
        <v>365</v>
      </c>
      <c r="AB3" s="38">
        <f>AB4-AA4</f>
        <v>90</v>
      </c>
      <c r="AC3" s="38">
        <f>AC4-AB4</f>
        <v>91</v>
      </c>
      <c r="AD3" s="38">
        <f>AD4-AC4</f>
        <v>92</v>
      </c>
      <c r="AE3" s="38">
        <f>AE4-AD4</f>
        <v>92</v>
      </c>
      <c r="AF3" s="964">
        <f>AF4-AA4</f>
        <v>365</v>
      </c>
      <c r="AG3" s="38">
        <f>AG4-AF4</f>
        <v>90</v>
      </c>
      <c r="AH3" s="38">
        <f>AH4-AG4</f>
        <v>91</v>
      </c>
      <c r="AI3" s="38">
        <f>AI4-AH4</f>
        <v>92</v>
      </c>
      <c r="AJ3" s="38">
        <f>AJ4-AI4</f>
        <v>92</v>
      </c>
      <c r="AK3" s="964">
        <f>AK4-AF4</f>
        <v>365</v>
      </c>
      <c r="AL3" s="38">
        <f>AL4-AK4</f>
        <v>91</v>
      </c>
      <c r="AM3" s="38">
        <f>AM4-AL4</f>
        <v>91</v>
      </c>
      <c r="AN3" s="38">
        <f>AN4-AM4</f>
        <v>92</v>
      </c>
      <c r="AO3" s="38">
        <f>AO4-AN4</f>
        <v>92</v>
      </c>
      <c r="AP3" s="964">
        <f>AP4-AK4</f>
        <v>366</v>
      </c>
      <c r="AQ3" s="38">
        <f>AQ4-AP4</f>
        <v>90</v>
      </c>
      <c r="AR3" s="38">
        <f>AR4-AQ4</f>
        <v>91</v>
      </c>
      <c r="AS3" s="38">
        <f>AS4-AR4</f>
        <v>92</v>
      </c>
      <c r="AT3" s="38">
        <f>AT4-AS4</f>
        <v>92</v>
      </c>
      <c r="AU3" s="964">
        <f>AU4-AP4</f>
        <v>365</v>
      </c>
      <c r="AV3" s="38">
        <f>AV4-AU4</f>
        <v>90</v>
      </c>
      <c r="AW3" s="38">
        <f>AW4-AV4</f>
        <v>91</v>
      </c>
      <c r="AX3" s="38">
        <f>AX4-AW4</f>
        <v>92</v>
      </c>
      <c r="AY3" s="38">
        <f>AY4-AX4</f>
        <v>92</v>
      </c>
      <c r="AZ3" s="964">
        <f>AZ4-AU4</f>
        <v>365</v>
      </c>
      <c r="BA3" s="38">
        <f>BA4-AZ4</f>
        <v>90</v>
      </c>
      <c r="BB3" s="38">
        <f>BB4-BA4</f>
        <v>91</v>
      </c>
      <c r="BC3" s="38">
        <f>BC4-BB4</f>
        <v>92</v>
      </c>
      <c r="BD3" s="38">
        <f>BD4-BC4</f>
        <v>92</v>
      </c>
      <c r="BE3" s="964">
        <f>BE4-AZ4</f>
        <v>365</v>
      </c>
      <c r="BF3" s="38">
        <f>BF4-BE4</f>
        <v>91</v>
      </c>
      <c r="BG3" s="38">
        <f>BG4-BF4</f>
        <v>91</v>
      </c>
      <c r="BH3" s="731">
        <f>BH4-BG4</f>
        <v>92</v>
      </c>
      <c r="BI3" s="137">
        <f>BI4-BH4</f>
        <v>92</v>
      </c>
      <c r="BJ3" s="965">
        <f>BJ4-BE4</f>
        <v>366</v>
      </c>
      <c r="BK3" s="137">
        <f>BK4-BJ4</f>
        <v>90</v>
      </c>
      <c r="BL3" s="137">
        <f>BL4-BK4</f>
        <v>91</v>
      </c>
      <c r="BM3" s="137">
        <f>BM4-BL4</f>
        <v>92</v>
      </c>
      <c r="BN3" s="137">
        <f>BN4-BM4</f>
        <v>92</v>
      </c>
      <c r="BO3" s="965">
        <f>BO4-BJ4</f>
        <v>365</v>
      </c>
      <c r="BP3" s="965">
        <f>BP4-BO4</f>
        <v>365</v>
      </c>
      <c r="BQ3" s="965">
        <f>BQ4-BP4</f>
        <v>365</v>
      </c>
      <c r="BR3" s="965">
        <f>BR4-BQ4</f>
        <v>366</v>
      </c>
      <c r="BS3" s="462"/>
    </row>
    <row r="4" spans="1:71" ht="15">
      <c r="A4" s="463" t="str">
        <f>FP.DataSourceName</f>
        <v>Bloomberg</v>
      </c>
      <c r="B4" s="342" t="str">
        <f ca="1">IF(AND(MO.RealTimeStockPriceToggle,MO.LastPriceFormula&lt;&gt;"N/A"),"ON","OFF")</f>
        <v>OFF</v>
      </c>
      <c r="C4" s="966">
        <v>40178</v>
      </c>
      <c r="D4" s="967">
        <f>EOMONTH(C4,12)</f>
        <v>40543</v>
      </c>
      <c r="E4" s="967">
        <f>EOMONTH(D4,12)</f>
        <v>40908</v>
      </c>
      <c r="F4" s="967">
        <f>EOMONTH(E4,12)</f>
        <v>41274</v>
      </c>
      <c r="G4" s="967">
        <f>EOMONTH(F4,12)</f>
        <v>41639</v>
      </c>
      <c r="H4" s="163">
        <f>EOMONTH(G4,3)</f>
        <v>41729</v>
      </c>
      <c r="I4" s="163">
        <f>EOMONTH(H4,3)</f>
        <v>41820</v>
      </c>
      <c r="J4" s="163">
        <f>EOMONTH(I4,3)</f>
        <v>41912</v>
      </c>
      <c r="K4" s="163">
        <f>EOMONTH(J4,3)</f>
        <v>42004</v>
      </c>
      <c r="L4" s="967">
        <f>K4</f>
        <v>42004</v>
      </c>
      <c r="M4" s="163">
        <f>EOMONTH(L4,3)</f>
        <v>42094</v>
      </c>
      <c r="N4" s="163">
        <f>EOMONTH(M4,3)</f>
        <v>42185</v>
      </c>
      <c r="O4" s="163">
        <f>EOMONTH(N4,3)</f>
        <v>42277</v>
      </c>
      <c r="P4" s="163">
        <f>EOMONTH(O4,3)</f>
        <v>42369</v>
      </c>
      <c r="Q4" s="967">
        <f>P4</f>
        <v>42369</v>
      </c>
      <c r="R4" s="163">
        <f>EOMONTH(Q4,3)</f>
        <v>42460</v>
      </c>
      <c r="S4" s="162">
        <f>EOMONTH(R4,3)</f>
        <v>42551</v>
      </c>
      <c r="T4" s="163">
        <f>EOMONTH(S4,3)</f>
        <v>42643</v>
      </c>
      <c r="U4" s="163">
        <f>EOMONTH(T4,3)</f>
        <v>42735</v>
      </c>
      <c r="V4" s="967">
        <f>U4</f>
        <v>42735</v>
      </c>
      <c r="W4" s="162">
        <f>EOMONTH(V4,3)</f>
        <v>42825</v>
      </c>
      <c r="X4" s="162">
        <f>EOMONTH(W4,3)</f>
        <v>42916</v>
      </c>
      <c r="Y4" s="163">
        <f>EOMONTH(X4,3)</f>
        <v>43008</v>
      </c>
      <c r="Z4" s="163">
        <f>EOMONTH(Y4,3)</f>
        <v>43100</v>
      </c>
      <c r="AA4" s="967">
        <f>Z4</f>
        <v>43100</v>
      </c>
      <c r="AB4" s="162">
        <f>EOMONTH(AA4,3)</f>
        <v>43190</v>
      </c>
      <c r="AC4" s="162">
        <f>EOMONTH(AB4,3)</f>
        <v>43281</v>
      </c>
      <c r="AD4" s="163">
        <f>EOMONTH(AC4,3)</f>
        <v>43373</v>
      </c>
      <c r="AE4" s="163">
        <f>EOMONTH(AD4,3)</f>
        <v>43465</v>
      </c>
      <c r="AF4" s="967">
        <f>AE4</f>
        <v>43465</v>
      </c>
      <c r="AG4" s="162">
        <f>EOMONTH(AF4,3)</f>
        <v>43555</v>
      </c>
      <c r="AH4" s="162">
        <f>EOMONTH(AG4,3)</f>
        <v>43646</v>
      </c>
      <c r="AI4" s="163">
        <f>EOMONTH(AH4,3)</f>
        <v>43738</v>
      </c>
      <c r="AJ4" s="163">
        <f>EOMONTH(AI4,3)</f>
        <v>43830</v>
      </c>
      <c r="AK4" s="967">
        <f>AJ4</f>
        <v>43830</v>
      </c>
      <c r="AL4" s="162">
        <f>EOMONTH(AK4,3)</f>
        <v>43921</v>
      </c>
      <c r="AM4" s="162">
        <f>EOMONTH(AL4,3)</f>
        <v>44012</v>
      </c>
      <c r="AN4" s="163">
        <f>EOMONTH(AM4,3)</f>
        <v>44104</v>
      </c>
      <c r="AO4" s="163">
        <f>EOMONTH(AN4,3)</f>
        <v>44196</v>
      </c>
      <c r="AP4" s="967">
        <f>AO4</f>
        <v>44196</v>
      </c>
      <c r="AQ4" s="162">
        <f>EOMONTH(AP4,3)</f>
        <v>44286</v>
      </c>
      <c r="AR4" s="162">
        <f>EOMONTH(AQ4,3)</f>
        <v>44377</v>
      </c>
      <c r="AS4" s="163">
        <f>EOMONTH(AR4,3)</f>
        <v>44469</v>
      </c>
      <c r="AT4" s="163">
        <f>EOMONTH(AS4,3)</f>
        <v>44561</v>
      </c>
      <c r="AU4" s="967">
        <f>AT4</f>
        <v>44561</v>
      </c>
      <c r="AV4" s="162">
        <f>EOMONTH(AU4,3)</f>
        <v>44651</v>
      </c>
      <c r="AW4" s="162">
        <f>EOMONTH(AV4,3)</f>
        <v>44742</v>
      </c>
      <c r="AX4" s="163">
        <f>EOMONTH(AW4,3)</f>
        <v>44834</v>
      </c>
      <c r="AY4" s="163">
        <f>EOMONTH(AX4,3)</f>
        <v>44926</v>
      </c>
      <c r="AZ4" s="967">
        <f>AY4</f>
        <v>44926</v>
      </c>
      <c r="BA4" s="162">
        <f>EOMONTH(AZ4,3)</f>
        <v>45016</v>
      </c>
      <c r="BB4" s="162">
        <f>EOMONTH(BA4,3)</f>
        <v>45107</v>
      </c>
      <c r="BC4" s="163">
        <f>EOMONTH(BB4,3)</f>
        <v>45199</v>
      </c>
      <c r="BD4" s="163">
        <f>EOMONTH(BC4,3)</f>
        <v>45291</v>
      </c>
      <c r="BE4" s="967">
        <f>BD4</f>
        <v>45291</v>
      </c>
      <c r="BF4" s="162">
        <f>EOMONTH(BE4,3)</f>
        <v>45382</v>
      </c>
      <c r="BG4" s="162">
        <f>EOMONTH(BF4,3)</f>
        <v>45473</v>
      </c>
      <c r="BH4" s="885">
        <f>EOMONTH(BG4,3)</f>
        <v>45565</v>
      </c>
      <c r="BI4" s="163">
        <f>EOMONTH(BH4,3)</f>
        <v>45657</v>
      </c>
      <c r="BJ4" s="967">
        <f>BI4</f>
        <v>45657</v>
      </c>
      <c r="BK4" s="163">
        <f>EOMONTH(BJ4,3)</f>
        <v>45747</v>
      </c>
      <c r="BL4" s="163">
        <f>EOMONTH(BK4,3)</f>
        <v>45838</v>
      </c>
      <c r="BM4" s="163">
        <f>EOMONTH(BL4,3)</f>
        <v>45930</v>
      </c>
      <c r="BN4" s="163">
        <f>EOMONTH(BM4,3)</f>
        <v>46022</v>
      </c>
      <c r="BO4" s="967">
        <f>BN4</f>
        <v>46022</v>
      </c>
      <c r="BP4" s="967">
        <f>EOMONTH(BO4,12)</f>
        <v>46387</v>
      </c>
      <c r="BQ4" s="967">
        <f>EOMONTH(BP4,12)</f>
        <v>46752</v>
      </c>
      <c r="BR4" s="967">
        <f>EOMONTH(BQ4,12)</f>
        <v>47118</v>
      </c>
      <c r="BS4" s="303"/>
    </row>
    <row r="5" spans="1:71" s="40" customFormat="1" ht="15">
      <c r="A5" s="81" t="str">
        <f>MO.ReportCurrency</f>
        <v>USD</v>
      </c>
      <c r="B5" s="474"/>
      <c r="C5" s="968" t="s">
        <v>12</v>
      </c>
      <c r="D5" s="969" t="str">
        <f>CONCATENATE("FY",RIGHT(C5,4)+1)</f>
        <v>FY2010</v>
      </c>
      <c r="E5" s="969" t="str">
        <f>CONCATENATE("FY",RIGHT(D5,4)+1)</f>
        <v>FY2011</v>
      </c>
      <c r="F5" s="969" t="str">
        <f>CONCATENATE("FY",RIGHT(E5,4)+1)</f>
        <v>FY2012</v>
      </c>
      <c r="G5" s="969" t="str">
        <f>CONCATENATE("FY",RIGHT(F5,4)+1)</f>
        <v>FY2013</v>
      </c>
      <c r="H5" s="138" t="str">
        <f>CONCATENATE("Q1","-",RIGHT(G5,4)+1)</f>
        <v>Q1-2014</v>
      </c>
      <c r="I5" s="138" t="str">
        <f>CONCATENATE("Q2","-",RIGHT(H5,4))</f>
        <v>Q2-2014</v>
      </c>
      <c r="J5" s="138" t="str">
        <f>CONCATENATE("Q3","-",RIGHT(I5,4))</f>
        <v>Q3-2014</v>
      </c>
      <c r="K5" s="138" t="str">
        <f>CONCATENATE("Q4","-",RIGHT(J5,4))</f>
        <v>Q4-2014</v>
      </c>
      <c r="L5" s="969" t="str">
        <f>CONCATENATE("FY",RIGHT(G5,4)+1)</f>
        <v>FY2014</v>
      </c>
      <c r="M5" s="138" t="str">
        <f>CONCATENATE("Q1","-",RIGHT(L5,4)+1)</f>
        <v>Q1-2015</v>
      </c>
      <c r="N5" s="138" t="str">
        <f>CONCATENATE("Q2","-",RIGHT(M5,4))</f>
        <v>Q2-2015</v>
      </c>
      <c r="O5" s="138" t="str">
        <f>CONCATENATE("Q3","-",RIGHT(N5,4))</f>
        <v>Q3-2015</v>
      </c>
      <c r="P5" s="138" t="str">
        <f>CONCATENATE("Q4","-",RIGHT(O5,4))</f>
        <v>Q4-2015</v>
      </c>
      <c r="Q5" s="969" t="str">
        <f>CONCATENATE("FY",RIGHT(L5,4)+1)</f>
        <v>FY2015</v>
      </c>
      <c r="R5" s="138" t="str">
        <f>CONCATENATE("Q1","-",RIGHT(Q5,4)+1)</f>
        <v>Q1-2016</v>
      </c>
      <c r="S5" s="55" t="str">
        <f>CONCATENATE("Q2","-",RIGHT(R5,4))</f>
        <v>Q2-2016</v>
      </c>
      <c r="T5" s="138" t="str">
        <f>CONCATENATE("Q3","-",RIGHT(S5,4))</f>
        <v>Q3-2016</v>
      </c>
      <c r="U5" s="138" t="str">
        <f>CONCATENATE("Q4","-",RIGHT(T5,4))</f>
        <v>Q4-2016</v>
      </c>
      <c r="V5" s="969" t="str">
        <f>CONCATENATE("FY",RIGHT(Q5,4)+1)</f>
        <v>FY2016</v>
      </c>
      <c r="W5" s="55" t="str">
        <f>CONCATENATE("Q1","-",RIGHT(V5,4)+1)</f>
        <v>Q1-2017</v>
      </c>
      <c r="X5" s="55" t="str">
        <f>CONCATENATE("Q2","-",RIGHT(W5,4))</f>
        <v>Q2-2017</v>
      </c>
      <c r="Y5" s="138" t="str">
        <f>CONCATENATE("Q3","-",RIGHT(X5,4))</f>
        <v>Q3-2017</v>
      </c>
      <c r="Z5" s="138" t="str">
        <f>CONCATENATE("Q4","-",RIGHT(Y5,4))</f>
        <v>Q4-2017</v>
      </c>
      <c r="AA5" s="969" t="str">
        <f>CONCATENATE("FY",RIGHT(V5,4)+1)</f>
        <v>FY2017</v>
      </c>
      <c r="AB5" s="55" t="str">
        <f>CONCATENATE("Q1","-",RIGHT(AA5,4)+1)</f>
        <v>Q1-2018</v>
      </c>
      <c r="AC5" s="55" t="str">
        <f>CONCATENATE("Q2","-",RIGHT(AB5,4))</f>
        <v>Q2-2018</v>
      </c>
      <c r="AD5" s="138" t="str">
        <f>CONCATENATE("Q3","-",RIGHT(AC5,4))</f>
        <v>Q3-2018</v>
      </c>
      <c r="AE5" s="138" t="str">
        <f>CONCATENATE("Q4","-",RIGHT(AD5,4))</f>
        <v>Q4-2018</v>
      </c>
      <c r="AF5" s="969" t="str">
        <f>CONCATENATE("FY",RIGHT(AA5,4)+1)</f>
        <v>FY2018</v>
      </c>
      <c r="AG5" s="55" t="str">
        <f>CONCATENATE("Q1","-",RIGHT(AF5,4)+1)</f>
        <v>Q1-2019</v>
      </c>
      <c r="AH5" s="55" t="str">
        <f>CONCATENATE("Q2","-",RIGHT(AG5,4))</f>
        <v>Q2-2019</v>
      </c>
      <c r="AI5" s="138" t="str">
        <f>CONCATENATE("Q3","-",RIGHT(AH5,4))</f>
        <v>Q3-2019</v>
      </c>
      <c r="AJ5" s="138" t="str">
        <f>CONCATENATE("Q4","-",RIGHT(AI5,4))</f>
        <v>Q4-2019</v>
      </c>
      <c r="AK5" s="969" t="str">
        <f>CONCATENATE("FY",RIGHT(AF5,4)+1)</f>
        <v>FY2019</v>
      </c>
      <c r="AL5" s="55" t="str">
        <f>CONCATENATE("Q1","-",RIGHT(AK5,4)+1)</f>
        <v>Q1-2020</v>
      </c>
      <c r="AM5" s="55" t="str">
        <f>CONCATENATE("Q2","-",RIGHT(AL5,4))</f>
        <v>Q2-2020</v>
      </c>
      <c r="AN5" s="138" t="str">
        <f>CONCATENATE("Q3","-",RIGHT(AM5,4))</f>
        <v>Q3-2020</v>
      </c>
      <c r="AO5" s="138" t="str">
        <f>CONCATENATE("Q4","-",RIGHT(AN5,4))</f>
        <v>Q4-2020</v>
      </c>
      <c r="AP5" s="969" t="str">
        <f>CONCATENATE("FY",RIGHT(AK5,4)+1)</f>
        <v>FY2020</v>
      </c>
      <c r="AQ5" s="55" t="str">
        <f>CONCATENATE("Q1","-",RIGHT(AP5,4)+1)</f>
        <v>Q1-2021</v>
      </c>
      <c r="AR5" s="55" t="str">
        <f>CONCATENATE("Q2","-",RIGHT(AQ5,4))</f>
        <v>Q2-2021</v>
      </c>
      <c r="AS5" s="138" t="str">
        <f>CONCATENATE("Q3","-",RIGHT(AR5,4))</f>
        <v>Q3-2021</v>
      </c>
      <c r="AT5" s="138" t="str">
        <f>CONCATENATE("Q4","-",RIGHT(AS5,4))</f>
        <v>Q4-2021</v>
      </c>
      <c r="AU5" s="969" t="str">
        <f>CONCATENATE("FY",RIGHT(AP5,4)+1)</f>
        <v>FY2021</v>
      </c>
      <c r="AV5" s="55" t="str">
        <f>CONCATENATE("Q1","-",RIGHT(AU5,4)+1)</f>
        <v>Q1-2022</v>
      </c>
      <c r="AW5" s="55" t="str">
        <f>CONCATENATE("Q2","-",RIGHT(AV5,4))</f>
        <v>Q2-2022</v>
      </c>
      <c r="AX5" s="138" t="str">
        <f>CONCATENATE("Q3","-",RIGHT(AW5,4))</f>
        <v>Q3-2022</v>
      </c>
      <c r="AY5" s="138" t="str">
        <f>CONCATENATE("Q4","-",RIGHT(AX5,4))</f>
        <v>Q4-2022</v>
      </c>
      <c r="AZ5" s="969" t="str">
        <f>CONCATENATE("FY",RIGHT(AU5,4)+1)</f>
        <v>FY2022</v>
      </c>
      <c r="BA5" s="55" t="str">
        <f>CONCATENATE("Q1","-",RIGHT(AZ5,4)+1)</f>
        <v>Q1-2023</v>
      </c>
      <c r="BB5" s="55" t="str">
        <f>CONCATENATE("Q2","-",RIGHT(BA5,4))</f>
        <v>Q2-2023</v>
      </c>
      <c r="BC5" s="138" t="str">
        <f>CONCATENATE("Q3","-",RIGHT(BB5,4))</f>
        <v>Q3-2023</v>
      </c>
      <c r="BD5" s="138" t="str">
        <f>CONCATENATE("Q4","-",RIGHT(BC5,4))</f>
        <v>Q4-2023</v>
      </c>
      <c r="BE5" s="969" t="str">
        <f>CONCATENATE("FY",RIGHT(AZ5,4)+1)</f>
        <v>FY2023</v>
      </c>
      <c r="BF5" s="138" t="str">
        <f>CONCATENATE("Q1","-",RIGHT(BE5,4)+1)</f>
        <v>Q1-2024</v>
      </c>
      <c r="BG5" s="138" t="str">
        <f>CONCATENATE("Q2","-",RIGHT(BF5,4))</f>
        <v>Q2-2024</v>
      </c>
      <c r="BH5" s="887" t="str">
        <f>CONCATENATE("Q3","-",RIGHT(BG5,4))</f>
        <v>Q3-2024</v>
      </c>
      <c r="BI5" s="138" t="str">
        <f>CONCATENATE("Q4","-",RIGHT(BH5,4))</f>
        <v>Q4-2024</v>
      </c>
      <c r="BJ5" s="969" t="str">
        <f>CONCATENATE("FY",RIGHT(BE5,4)+1)</f>
        <v>FY2024</v>
      </c>
      <c r="BK5" s="138" t="str">
        <f>CONCATENATE("Q1","-",RIGHT(BJ5,4)+1)</f>
        <v>Q1-2025</v>
      </c>
      <c r="BL5" s="138" t="str">
        <f>CONCATENATE("Q2","-",RIGHT(BK5,4))</f>
        <v>Q2-2025</v>
      </c>
      <c r="BM5" s="138" t="str">
        <f>CONCATENATE("Q3","-",RIGHT(BL5,4))</f>
        <v>Q3-2025</v>
      </c>
      <c r="BN5" s="138" t="str">
        <f>CONCATENATE("Q4","-",RIGHT(BM5,4))</f>
        <v>Q4-2025</v>
      </c>
      <c r="BO5" s="969" t="str">
        <f>CONCATENATE("FY",RIGHT(BJ5,4)+1)</f>
        <v>FY2025</v>
      </c>
      <c r="BP5" s="969" t="str">
        <f>CONCATENATE("FY",RIGHT(BO5,4)+1)</f>
        <v>FY2026</v>
      </c>
      <c r="BQ5" s="969" t="str">
        <f>CONCATENATE("FY",RIGHT(BP5,4)+1)</f>
        <v>FY2027</v>
      </c>
      <c r="BR5" s="969" t="str">
        <f>CONCATENATE("FY",RIGHT(BQ5,4)+1)</f>
        <v>FY2028</v>
      </c>
      <c r="BS5" s="309"/>
    </row>
    <row r="6" spans="1:71" s="25" customFormat="1" ht="15">
      <c r="A6" s="56" t="s">
        <v>13</v>
      </c>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725"/>
      <c r="BI6" s="56"/>
      <c r="BJ6" s="56"/>
      <c r="BK6" s="56"/>
      <c r="BL6" s="56"/>
      <c r="BM6" s="56"/>
      <c r="BN6" s="56"/>
      <c r="BO6" s="56"/>
      <c r="BP6" s="56"/>
      <c r="BQ6" s="56"/>
      <c r="BR6" s="56"/>
      <c r="BS6" s="158"/>
    </row>
    <row r="7" spans="1:71" s="24" customFormat="1" ht="15">
      <c r="A7" s="231" t="s">
        <v>815</v>
      </c>
      <c r="B7" s="475"/>
      <c r="C7" s="970"/>
      <c r="D7" s="970">
        <f t="shared" si="1" ref="D7:F10">D40/C40-1</f>
        <v>-0.0078232069438100016</v>
      </c>
      <c r="E7" s="970">
        <f t="shared" si="1"/>
        <v>-0.006388489208633108</v>
      </c>
      <c r="F7" s="970">
        <f t="shared" si="1"/>
        <v>0.04494902687673763</v>
      </c>
      <c r="G7" s="970">
        <f>G40/F40-1</f>
        <v>0.036640798226164062</v>
      </c>
      <c r="H7" s="245"/>
      <c r="I7" s="245"/>
      <c r="J7" s="245"/>
      <c r="K7" s="245"/>
      <c r="L7" s="970">
        <f t="shared" si="2" ref="L7:AP10">L40/G40-1</f>
        <v>0.051708464787979302</v>
      </c>
      <c r="M7" s="245">
        <f t="shared" si="2"/>
        <v>0.055498246337940982</v>
      </c>
      <c r="N7" s="245">
        <f t="shared" si="2"/>
        <v>0.04806708938433224</v>
      </c>
      <c r="O7" s="245">
        <f t="shared" si="2"/>
        <v>0.050285939656872447</v>
      </c>
      <c r="P7" s="245">
        <f t="shared" si="2"/>
        <v>0.048343962147706199</v>
      </c>
      <c r="Q7" s="970">
        <f t="shared" si="2"/>
        <v>0.050538946512100891</v>
      </c>
      <c r="R7" s="245">
        <f t="shared" si="2"/>
        <v>0.040461297888975789</v>
      </c>
      <c r="S7" s="245">
        <f t="shared" si="2"/>
        <v>0.035323965651834488</v>
      </c>
      <c r="T7" s="245">
        <f t="shared" si="2"/>
        <v>0.036612842658655609</v>
      </c>
      <c r="U7" s="245">
        <f t="shared" si="2"/>
        <v>0.035321821036106815</v>
      </c>
      <c r="V7" s="970">
        <f t="shared" si="2"/>
        <v>0.036927693350111257</v>
      </c>
      <c r="W7" s="245">
        <f t="shared" si="2"/>
        <v>0.023107270336276464</v>
      </c>
      <c r="X7" s="245">
        <f t="shared" si="2"/>
        <v>0.029029217719132916</v>
      </c>
      <c r="Y7" s="245">
        <f t="shared" si="2"/>
        <v>0.02590110487230568</v>
      </c>
      <c r="Z7" s="245">
        <f t="shared" si="2"/>
        <v>0.037338893100834047</v>
      </c>
      <c r="AA7" s="970">
        <f t="shared" si="2"/>
        <v>0.028798133022170269</v>
      </c>
      <c r="AB7" s="245">
        <f t="shared" si="2"/>
        <v>0.053800954829232417</v>
      </c>
      <c r="AC7" s="245">
        <f t="shared" si="2"/>
        <v>0.06008426451731097</v>
      </c>
      <c r="AD7" s="245">
        <f t="shared" si="2"/>
        <v>0.05702683615819204</v>
      </c>
      <c r="AE7" s="245">
        <f t="shared" si="2"/>
        <v>0.069614471039649128</v>
      </c>
      <c r="AF7" s="970">
        <f t="shared" si="2"/>
        <v>0.060112512476181879</v>
      </c>
      <c r="AG7" s="245">
        <f t="shared" si="2"/>
        <v>0.053667886391357333</v>
      </c>
      <c r="AH7" s="245">
        <f t="shared" si="2"/>
        <v>0.051840331778123305</v>
      </c>
      <c r="AI7" s="245">
        <f t="shared" si="2"/>
        <v>0.047436111575079432</v>
      </c>
      <c r="AJ7" s="245">
        <f t="shared" si="2"/>
        <v>0.034677143833276469</v>
      </c>
      <c r="AK7" s="970">
        <f t="shared" si="2"/>
        <v>0.046860957760944899</v>
      </c>
      <c r="AL7" s="245">
        <f t="shared" si="2"/>
        <v>0.026790143872994943</v>
      </c>
      <c r="AM7" s="245">
        <f t="shared" si="2"/>
        <v>0.016921307704945043</v>
      </c>
      <c r="AN7" s="245">
        <f t="shared" si="2"/>
        <v>0.0087705310157870642</v>
      </c>
      <c r="AO7" s="245">
        <f t="shared" si="2"/>
        <v>-0.028231797919762269</v>
      </c>
      <c r="AP7" s="970">
        <f t="shared" si="2"/>
        <v>0.006091080042514907</v>
      </c>
      <c r="AQ7" s="245">
        <f t="shared" si="3" ref="AQ7:AV7">AQ40/AL40-1</f>
        <v>0.12932839426638743</v>
      </c>
      <c r="AR7" s="245">
        <f t="shared" si="3"/>
        <v>0.10145395799676904</v>
      </c>
      <c r="AS7" s="245">
        <f t="shared" si="3"/>
        <v>0.1335757192538729</v>
      </c>
      <c r="AT7" s="245">
        <f t="shared" si="3"/>
        <v>0.16615698267074408</v>
      </c>
      <c r="AU7" s="970">
        <f t="shared" si="3"/>
        <v>0.13221730120677755</v>
      </c>
      <c r="AV7" s="245">
        <f t="shared" si="3"/>
        <v>0.078436965202510089</v>
      </c>
      <c r="AW7" s="245">
        <f t="shared" si="4" ref="AW7:AX10">AW40/AR40-1</f>
        <v>0.095629216779114179</v>
      </c>
      <c r="AX7" s="245">
        <f t="shared" si="4"/>
        <v>0.096081439129828583</v>
      </c>
      <c r="AY7" s="245">
        <f t="shared" si="5" ref="AY7:AZ10">AY40/AT40-1</f>
        <v>0.13257575757575757</v>
      </c>
      <c r="AZ7" s="970">
        <f t="shared" si="5"/>
        <v>0.10052036605060111</v>
      </c>
      <c r="BA7" s="245">
        <f t="shared" si="6" ref="BA7:BB10">BA40/AV40-1</f>
        <v>0.10407299656175617</v>
      </c>
      <c r="BB7" s="245">
        <f t="shared" si="6"/>
        <v>0.1069611780455153</v>
      </c>
      <c r="BC7" s="245">
        <f t="shared" si="7" ref="BC7:BE10">BC40/AX40-1</f>
        <v>0.11577608142493645</v>
      </c>
      <c r="BD7" s="245">
        <f t="shared" si="7"/>
        <v>0.10239259068690498</v>
      </c>
      <c r="BE7" s="970">
        <f t="shared" si="7"/>
        <v>0.1073501597860822</v>
      </c>
      <c r="BF7" s="245">
        <f t="shared" si="8" ref="BF7:BG10">BF40/BA40-1</f>
        <v>0.12073302191879276</v>
      </c>
      <c r="BG7" s="245">
        <f t="shared" si="8"/>
        <v>0.12274761156125291</v>
      </c>
      <c r="BH7" s="732">
        <f>BH40/BC40-1</f>
        <v>0.087685290763968027</v>
      </c>
      <c r="BI7" s="888">
        <v>-0.02</v>
      </c>
      <c r="BJ7" s="970">
        <f>BJ40/BE40-1</f>
        <v>0.077171800459390871</v>
      </c>
      <c r="BK7" s="888">
        <v>0.10000000000000001</v>
      </c>
      <c r="BL7" s="888">
        <v>0.10000000000000001</v>
      </c>
      <c r="BM7" s="888">
        <v>0.10000000000000001</v>
      </c>
      <c r="BN7" s="888">
        <v>0.10000000000000001</v>
      </c>
      <c r="BO7" s="970">
        <f>BO40/BJ40-1</f>
        <v>0.10000000000000031</v>
      </c>
      <c r="BP7" s="971">
        <v>0.03</v>
      </c>
      <c r="BQ7" s="971">
        <v>0.03</v>
      </c>
      <c r="BR7" s="971">
        <v>0.03</v>
      </c>
      <c r="BS7" s="47"/>
    </row>
    <row r="8" spans="1:71" s="24" customFormat="1" ht="15">
      <c r="A8" s="231" t="s">
        <v>816</v>
      </c>
      <c r="B8" s="475"/>
      <c r="C8" s="970"/>
      <c r="D8" s="970">
        <f t="shared" si="1"/>
        <v>0.011087208340228472</v>
      </c>
      <c r="E8" s="970">
        <f t="shared" si="1"/>
        <v>0.023731587561374834</v>
      </c>
      <c r="F8" s="970">
        <f t="shared" si="1"/>
        <v>0.03245403677058345</v>
      </c>
      <c r="G8" s="970">
        <f t="shared" si="9" ref="G8:G10">G41/F41-1</f>
        <v>0.045215236915453705</v>
      </c>
      <c r="H8" s="245"/>
      <c r="I8" s="245"/>
      <c r="J8" s="245"/>
      <c r="K8" s="245"/>
      <c r="L8" s="970">
        <f t="shared" si="2"/>
        <v>0.044592592592592517</v>
      </c>
      <c r="M8" s="245">
        <f t="shared" si="2"/>
        <v>0.02890571231933925</v>
      </c>
      <c r="N8" s="245">
        <f t="shared" si="2"/>
        <v>0.031545741324921162</v>
      </c>
      <c r="O8" s="245">
        <f t="shared" si="2"/>
        <v>0.025875190258751957</v>
      </c>
      <c r="P8" s="245">
        <f t="shared" si="2"/>
        <v>0.019710144927536311</v>
      </c>
      <c r="Q8" s="970">
        <f t="shared" si="2"/>
        <v>0.026521060842433775</v>
      </c>
      <c r="R8" s="245">
        <f t="shared" si="2"/>
        <v>0.0080267558528428484</v>
      </c>
      <c r="S8" s="245">
        <f t="shared" si="2"/>
        <v>0.0045871559633028358</v>
      </c>
      <c r="T8" s="245">
        <f t="shared" si="2"/>
        <v>-0.0079129574678535874</v>
      </c>
      <c r="U8" s="245">
        <f t="shared" si="2"/>
        <v>-0.0017055144968731728</v>
      </c>
      <c r="V8" s="970">
        <f t="shared" si="2"/>
        <v>0.00027631942525552233</v>
      </c>
      <c r="W8" s="245">
        <f t="shared" si="2"/>
        <v>0.0019907100199070271</v>
      </c>
      <c r="X8" s="245">
        <f t="shared" si="2"/>
        <v>0.0040588533739218668</v>
      </c>
      <c r="Y8" s="245">
        <f t="shared" si="2"/>
        <v>0.023429710867397757</v>
      </c>
      <c r="Z8" s="245">
        <f t="shared" si="2"/>
        <v>0.029612756264236983</v>
      </c>
      <c r="AA8" s="970">
        <f t="shared" si="2"/>
        <v>0.015193370165745845</v>
      </c>
      <c r="AB8" s="245">
        <f t="shared" si="2"/>
        <v>0.041059602649006655</v>
      </c>
      <c r="AC8" s="245">
        <f t="shared" si="2"/>
        <v>0.053057099545224862</v>
      </c>
      <c r="AD8" s="245">
        <f t="shared" si="2"/>
        <v>0.044325377496346796</v>
      </c>
      <c r="AE8" s="245">
        <f t="shared" si="2"/>
        <v>0.049778761061946897</v>
      </c>
      <c r="AF8" s="970">
        <f t="shared" si="2"/>
        <v>0.047346938775510106</v>
      </c>
      <c r="AG8" s="245">
        <f t="shared" si="2"/>
        <v>0.0661577608142494</v>
      </c>
      <c r="AH8" s="245">
        <f t="shared" si="2"/>
        <v>0.06477927063339739</v>
      </c>
      <c r="AI8" s="245">
        <f t="shared" si="2"/>
        <v>0.067164179104477695</v>
      </c>
      <c r="AJ8" s="245">
        <f t="shared" si="2"/>
        <v>0.044257112750263339</v>
      </c>
      <c r="AK8" s="970">
        <f t="shared" si="2"/>
        <v>0.060665107820212949</v>
      </c>
      <c r="AL8" s="245">
        <f t="shared" si="2"/>
        <v>0.033412887828162319</v>
      </c>
      <c r="AM8" s="245">
        <f t="shared" si="2"/>
        <v>0.029292474087426745</v>
      </c>
      <c r="AN8" s="245">
        <f t="shared" si="2"/>
        <v>0.022290209790209792</v>
      </c>
      <c r="AO8" s="245">
        <f t="shared" si="2"/>
        <v>0.031786074672048414</v>
      </c>
      <c r="AP8" s="970">
        <f t="shared" si="2"/>
        <v>0.028781383955909456</v>
      </c>
      <c r="AQ8" s="245">
        <f t="shared" si="10" ref="AQ8:AQ10">AQ41/AL41-1</f>
        <v>0.20265588914549659</v>
      </c>
      <c r="AR8" s="245">
        <f t="shared" si="11" ref="AR8:AS10">AR41/AM41-1</f>
        <v>0.19176882661996508</v>
      </c>
      <c r="AS8" s="245">
        <f t="shared" si="11"/>
        <v>0.28430953398888414</v>
      </c>
      <c r="AT8" s="245">
        <f t="shared" si="12" ref="AT8:AU10">AT41/AO41-1</f>
        <v>0.31051344743276288</v>
      </c>
      <c r="AU8" s="970">
        <f t="shared" si="12"/>
        <v>0.24869047619047624</v>
      </c>
      <c r="AV8" s="245">
        <f>AV41/AQ41-1</f>
        <v>0.15266442630820931</v>
      </c>
      <c r="AW8" s="245">
        <f t="shared" si="4"/>
        <v>0.15099191770756804</v>
      </c>
      <c r="AX8" s="245">
        <f t="shared" si="4"/>
        <v>0.093874833555259718</v>
      </c>
      <c r="AY8" s="245">
        <f t="shared" si="5"/>
        <v>0.092537313432835777</v>
      </c>
      <c r="AZ8" s="970">
        <f t="shared" si="5"/>
        <v>0.1200305081513966</v>
      </c>
      <c r="BA8" s="245">
        <f t="shared" si="6"/>
        <v>0.055393586005830997</v>
      </c>
      <c r="BB8" s="245">
        <f t="shared" si="6"/>
        <v>0.079157357165655862</v>
      </c>
      <c r="BC8" s="245">
        <f t="shared" si="7"/>
        <v>0.07273280584297015</v>
      </c>
      <c r="BD8" s="245">
        <f t="shared" si="7"/>
        <v>0.073770491803278659</v>
      </c>
      <c r="BE8" s="970">
        <f t="shared" si="7"/>
        <v>0.071161048689138529</v>
      </c>
      <c r="BF8" s="245">
        <f t="shared" si="8"/>
        <v>0.13417521704814517</v>
      </c>
      <c r="BG8" s="245">
        <f t="shared" si="8"/>
        <v>0.13723750369713095</v>
      </c>
      <c r="BH8" s="732">
        <f>BH41/BC41-1</f>
        <v>0.15546099290780147</v>
      </c>
      <c r="BI8" s="888">
        <v>-0.05</v>
      </c>
      <c r="BJ8" s="970">
        <f>BJ41/BE41-1</f>
        <v>0.094945963127781141</v>
      </c>
      <c r="BK8" s="888">
        <v>0.05</v>
      </c>
      <c r="BL8" s="888">
        <v>0.05</v>
      </c>
      <c r="BM8" s="888">
        <v>0.05</v>
      </c>
      <c r="BN8" s="888">
        <v>0.05</v>
      </c>
      <c r="BO8" s="970">
        <f>BO41/BJ41-1</f>
        <v>0.050000000000000266</v>
      </c>
      <c r="BP8" s="971">
        <v>0.03</v>
      </c>
      <c r="BQ8" s="971">
        <v>0.03</v>
      </c>
      <c r="BR8" s="971">
        <v>0.03</v>
      </c>
      <c r="BS8" s="47"/>
    </row>
    <row r="9" spans="1:71" s="24" customFormat="1" ht="15">
      <c r="A9" s="231" t="s">
        <v>817</v>
      </c>
      <c r="B9" s="475"/>
      <c r="C9" s="970"/>
      <c r="D9" s="970">
        <f t="shared" si="1"/>
        <v>0.0016549441456350511</v>
      </c>
      <c r="E9" s="970">
        <f t="shared" si="1"/>
        <v>-0.34985543163981825</v>
      </c>
      <c r="F9" s="970">
        <f t="shared" si="1"/>
        <v>0.02414231257941557</v>
      </c>
      <c r="G9" s="970">
        <f t="shared" si="9"/>
        <v>0.020471464019851116</v>
      </c>
      <c r="H9" s="245"/>
      <c r="I9" s="245"/>
      <c r="J9" s="245"/>
      <c r="K9" s="245"/>
      <c r="L9" s="970">
        <f t="shared" si="2"/>
        <v>0.023100303951367751</v>
      </c>
      <c r="M9" s="245">
        <f t="shared" si="2"/>
        <v>0.015915119363395291</v>
      </c>
      <c r="N9" s="245">
        <f t="shared" si="2"/>
        <v>0.017937219730941756</v>
      </c>
      <c r="O9" s="245">
        <f t="shared" si="2"/>
        <v>0.0087719298245614308</v>
      </c>
      <c r="P9" s="245">
        <f t="shared" si="2"/>
        <v>-0.0049504950495049549</v>
      </c>
      <c r="Q9" s="970">
        <f t="shared" si="2"/>
        <v>0.0095068330362448883</v>
      </c>
      <c r="R9" s="245">
        <f t="shared" si="2"/>
        <v>-0.018276762402088753</v>
      </c>
      <c r="S9" s="245">
        <f t="shared" si="2"/>
        <v>0.0066079295154184425</v>
      </c>
      <c r="T9" s="245">
        <f t="shared" si="2"/>
        <v>0.030434782608695699</v>
      </c>
      <c r="U9" s="245">
        <f t="shared" si="2"/>
        <v>0.037313432835820892</v>
      </c>
      <c r="V9" s="970">
        <f t="shared" si="2"/>
        <v>0.014714537963507857</v>
      </c>
      <c r="W9" s="245">
        <f t="shared" si="2"/>
        <v>0.037234042553191404</v>
      </c>
      <c r="X9" s="245">
        <f t="shared" si="2"/>
        <v>0.024070021881838155</v>
      </c>
      <c r="Y9" s="245">
        <f t="shared" si="2"/>
        <v>0.0084388185654007408</v>
      </c>
      <c r="Z9" s="245">
        <f t="shared" si="2"/>
        <v>0.035971223021582732</v>
      </c>
      <c r="AA9" s="970">
        <f t="shared" si="2"/>
        <v>0.025522041763341052</v>
      </c>
      <c r="AB9" s="245">
        <f t="shared" si="2"/>
        <v>0.01538461538461533</v>
      </c>
      <c r="AC9" s="245">
        <f t="shared" si="2"/>
        <v>0.064102564102564097</v>
      </c>
      <c r="AD9" s="245">
        <f t="shared" si="2"/>
        <v>0.037656903765690419</v>
      </c>
      <c r="AE9" s="245">
        <f t="shared" si="2"/>
        <v>0.020833333333333259</v>
      </c>
      <c r="AF9" s="970">
        <f t="shared" si="2"/>
        <v>0.035633484162896023</v>
      </c>
      <c r="AG9" s="245">
        <f t="shared" si="2"/>
        <v>0.058080808080808177</v>
      </c>
      <c r="AH9" s="245">
        <f t="shared" si="2"/>
        <v>0.0060240963855422436</v>
      </c>
      <c r="AI9" s="245">
        <f t="shared" si="2"/>
        <v>0.038306451612903247</v>
      </c>
      <c r="AJ9" s="245">
        <f t="shared" si="2"/>
        <v>0.031746031746031855</v>
      </c>
      <c r="AK9" s="970">
        <f t="shared" si="2"/>
        <v>0.032222829055161162</v>
      </c>
      <c r="AL9" s="245">
        <f t="shared" si="2"/>
        <v>0.026252983293556076</v>
      </c>
      <c r="AM9" s="245">
        <f t="shared" si="2"/>
        <v>0.053892215568862367</v>
      </c>
      <c r="AN9" s="245">
        <f t="shared" si="2"/>
        <v>0.05242718446601935</v>
      </c>
      <c r="AO9" s="245">
        <f t="shared" si="2"/>
        <v>0.0219780219780219</v>
      </c>
      <c r="AP9" s="970">
        <f t="shared" si="2"/>
        <v>0.039682539682539764</v>
      </c>
      <c r="AQ9" s="245">
        <f t="shared" si="10"/>
        <v>0.10697674418604652</v>
      </c>
      <c r="AR9" s="245">
        <f t="shared" si="11"/>
        <v>0.096590909090909172</v>
      </c>
      <c r="AS9" s="245">
        <f t="shared" si="11"/>
        <v>0.077490774907749138</v>
      </c>
      <c r="AT9" s="245">
        <f t="shared" si="12"/>
        <v>0.1118279569892473</v>
      </c>
      <c r="AU9" s="970">
        <f t="shared" si="12"/>
        <v>0.097201017811704871</v>
      </c>
      <c r="AV9" s="245">
        <f>AV42/AQ42-1</f>
        <v>0.058823529411764719</v>
      </c>
      <c r="AW9" s="245">
        <f t="shared" si="4"/>
        <v>0.051813471502590636</v>
      </c>
      <c r="AX9" s="245">
        <f t="shared" si="4"/>
        <v>0.037671232876712368</v>
      </c>
      <c r="AY9" s="245">
        <f t="shared" si="5"/>
        <v>0.025145067698259194</v>
      </c>
      <c r="AZ9" s="970">
        <f t="shared" si="5"/>
        <v>0.043135435992578852</v>
      </c>
      <c r="BA9" s="245">
        <f t="shared" si="6"/>
        <v>0.087301587301587213</v>
      </c>
      <c r="BB9" s="245">
        <f t="shared" si="6"/>
        <v>0.10837438423645329</v>
      </c>
      <c r="BC9" s="245">
        <f t="shared" si="7"/>
        <v>0.11551155115511547</v>
      </c>
      <c r="BD9" s="245">
        <f t="shared" si="7"/>
        <v>0.16981132075471694</v>
      </c>
      <c r="BE9" s="970">
        <f t="shared" si="7"/>
        <v>0.1200533570475768</v>
      </c>
      <c r="BF9" s="245">
        <f t="shared" si="8"/>
        <v>0.20437956204379559</v>
      </c>
      <c r="BG9" s="245">
        <f t="shared" si="8"/>
        <v>0.25185185185185177</v>
      </c>
      <c r="BH9" s="732">
        <f>BH42/BC42-1</f>
        <v>0.20857988165680474</v>
      </c>
      <c r="BI9" s="888">
        <v>-0.05</v>
      </c>
      <c r="BJ9" s="970">
        <f>BJ42/BE42-1</f>
        <v>0.1556173084557364</v>
      </c>
      <c r="BK9" s="888">
        <v>0.05</v>
      </c>
      <c r="BL9" s="888">
        <v>0.05</v>
      </c>
      <c r="BM9" s="888">
        <v>0.05</v>
      </c>
      <c r="BN9" s="888">
        <v>0.05</v>
      </c>
      <c r="BO9" s="970">
        <f>BO42/BJ42-1</f>
        <v>0.050000000000000044</v>
      </c>
      <c r="BP9" s="971">
        <v>0.03</v>
      </c>
      <c r="BQ9" s="971">
        <v>0.03</v>
      </c>
      <c r="BR9" s="971">
        <v>0.03</v>
      </c>
      <c r="BS9" s="47"/>
    </row>
    <row r="10" spans="1:71" s="24" customFormat="1" ht="15">
      <c r="A10" s="486" t="s">
        <v>818</v>
      </c>
      <c r="B10" s="476"/>
      <c r="C10" s="972"/>
      <c r="D10" s="972"/>
      <c r="E10" s="972"/>
      <c r="F10" s="972">
        <f t="shared" si="1"/>
        <v>-0.038135593220338992</v>
      </c>
      <c r="G10" s="972">
        <f t="shared" si="9"/>
        <v>0.026431718061673992</v>
      </c>
      <c r="H10" s="385"/>
      <c r="I10" s="385"/>
      <c r="J10" s="385"/>
      <c r="K10" s="385"/>
      <c r="L10" s="972">
        <f t="shared" si="2"/>
        <v>0.060085836909871349</v>
      </c>
      <c r="M10" s="385">
        <f t="shared" si="2"/>
        <v>0.10344827586206895</v>
      </c>
      <c r="N10" s="385">
        <f t="shared" si="2"/>
        <v>0.061538461538461542</v>
      </c>
      <c r="O10" s="385">
        <f t="shared" si="2"/>
        <v>0.016393442622950838</v>
      </c>
      <c r="P10" s="385">
        <f t="shared" si="2"/>
        <v>0</v>
      </c>
      <c r="Q10" s="972">
        <f t="shared" si="2"/>
        <v>0.044534412955465674</v>
      </c>
      <c r="R10" s="385">
        <f t="shared" si="2"/>
        <v>-0.015625</v>
      </c>
      <c r="S10" s="385">
        <f t="shared" si="2"/>
        <v>-0.021739130434782594</v>
      </c>
      <c r="T10" s="385">
        <f t="shared" si="2"/>
        <v>-0.0080645161290322509</v>
      </c>
      <c r="U10" s="385">
        <f t="shared" si="2"/>
        <v>-0.087301587301587324</v>
      </c>
      <c r="V10" s="972">
        <f t="shared" si="2"/>
        <v>-0.032945736434108475</v>
      </c>
      <c r="W10" s="385">
        <f t="shared" si="2"/>
        <v>-0.023809523809523836</v>
      </c>
      <c r="X10" s="385">
        <f t="shared" si="2"/>
        <v>-0.081481481481481488</v>
      </c>
      <c r="Y10" s="385">
        <f t="shared" si="2"/>
        <v>-0.056910569105691033</v>
      </c>
      <c r="Z10" s="385">
        <f t="shared" si="2"/>
        <v>0.086956521739130377</v>
      </c>
      <c r="AA10" s="972">
        <f t="shared" si="2"/>
        <v>-0.022044088176352727</v>
      </c>
      <c r="AB10" s="385">
        <f t="shared" si="2"/>
        <v>0.11382113821138207</v>
      </c>
      <c r="AC10" s="385">
        <f t="shared" si="2"/>
        <v>0.38709677419354849</v>
      </c>
      <c r="AD10" s="385">
        <f t="shared" si="2"/>
        <v>0.49137931034482762</v>
      </c>
      <c r="AE10" s="385">
        <f t="shared" si="2"/>
        <v>0.41599999999999993</v>
      </c>
      <c r="AF10" s="972">
        <f t="shared" si="2"/>
        <v>0.35040983606557385</v>
      </c>
      <c r="AG10" s="385">
        <f t="shared" si="2"/>
        <v>0.35036496350364965</v>
      </c>
      <c r="AH10" s="385">
        <f t="shared" si="2"/>
        <v>0.37209302325581395</v>
      </c>
      <c r="AI10" s="385">
        <f t="shared" si="2"/>
        <v>0.37572254335260125</v>
      </c>
      <c r="AJ10" s="385">
        <f t="shared" si="2"/>
        <v>0.37288135593220328</v>
      </c>
      <c r="AK10" s="972">
        <f t="shared" si="2"/>
        <v>0.3687405159332322</v>
      </c>
      <c r="AL10" s="385">
        <f t="shared" si="2"/>
        <v>0.19459459459459461</v>
      </c>
      <c r="AM10" s="385">
        <f t="shared" si="2"/>
        <v>-0.27966101694915257</v>
      </c>
      <c r="AN10" s="385">
        <f t="shared" si="2"/>
        <v>-0.21008403361344541</v>
      </c>
      <c r="AO10" s="385">
        <f t="shared" si="2"/>
        <v>-0.12345679012345678</v>
      </c>
      <c r="AP10" s="972">
        <f t="shared" si="2"/>
        <v>-0.12195121951219512</v>
      </c>
      <c r="AQ10" s="385">
        <f t="shared" si="10"/>
        <v>-0.10859728506787325</v>
      </c>
      <c r="AR10" s="385">
        <f t="shared" si="11"/>
        <v>0.19999999999999996</v>
      </c>
      <c r="AS10" s="385">
        <f t="shared" si="11"/>
        <v>0.10106382978723394</v>
      </c>
      <c r="AT10" s="385">
        <f t="shared" si="12"/>
        <v>0.12676056338028174</v>
      </c>
      <c r="AU10" s="972">
        <f t="shared" si="12"/>
        <v>0.070707070707070718</v>
      </c>
      <c r="AV10" s="385">
        <f>AV43/AQ43-1</f>
        <v>0.49238578680203049</v>
      </c>
      <c r="AW10" s="385">
        <f t="shared" si="4"/>
        <v>0.45588235294117641</v>
      </c>
      <c r="AX10" s="385">
        <f t="shared" si="4"/>
        <v>0.37681159420289845</v>
      </c>
      <c r="AY10" s="385">
        <f t="shared" si="5"/>
        <v>0.033333333333333437</v>
      </c>
      <c r="AZ10" s="972">
        <f t="shared" si="5"/>
        <v>0.32547169811320753</v>
      </c>
      <c r="BA10" s="385">
        <f t="shared" si="6"/>
        <v>-0.22789115646258506</v>
      </c>
      <c r="BB10" s="385">
        <f t="shared" si="6"/>
        <v>-0.32659932659932656</v>
      </c>
      <c r="BC10" s="385">
        <f t="shared" si="7"/>
        <v>-0.50877192982456143</v>
      </c>
      <c r="BD10" s="385">
        <f t="shared" si="7"/>
        <v>-0.38306451612903225</v>
      </c>
      <c r="BE10" s="972">
        <f t="shared" si="7"/>
        <v>-0.35943060498220636</v>
      </c>
      <c r="BF10" s="385">
        <f t="shared" si="8"/>
        <v>-0.30837004405286339</v>
      </c>
      <c r="BG10" s="385">
        <f t="shared" si="8"/>
        <v>-0.25</v>
      </c>
      <c r="BH10" s="733">
        <f>BH43/BC43-1</f>
        <v>-0.25714285714285712</v>
      </c>
      <c r="BI10" s="890">
        <v>0.01</v>
      </c>
      <c r="BJ10" s="972">
        <f>BJ43/BE43-1</f>
        <v>-0.21454166666666674</v>
      </c>
      <c r="BK10" s="890">
        <v>0.05</v>
      </c>
      <c r="BL10" s="890">
        <v>0.05</v>
      </c>
      <c r="BM10" s="890">
        <v>0.05</v>
      </c>
      <c r="BN10" s="890">
        <v>0.05</v>
      </c>
      <c r="BO10" s="972">
        <f>BO43/BJ43-1</f>
        <v>0.050000000000000044</v>
      </c>
      <c r="BP10" s="973">
        <v>0.03</v>
      </c>
      <c r="BQ10" s="973">
        <v>0.03</v>
      </c>
      <c r="BR10" s="973">
        <v>0.03</v>
      </c>
      <c r="BS10" s="47"/>
    </row>
    <row r="11" spans="1:71" s="24" customFormat="1" ht="15">
      <c r="A11" s="106" t="s">
        <v>543</v>
      </c>
      <c r="B11" s="475"/>
      <c r="C11" s="970"/>
      <c r="D11" s="974">
        <f>D45/C45-1</f>
        <v>-0.0025411982134606603</v>
      </c>
      <c r="E11" s="974">
        <f>E45/D45-1</f>
        <v>0.0028950822203350768</v>
      </c>
      <c r="F11" s="974">
        <f>F45/E45-1</f>
        <v>0.040221700473422883</v>
      </c>
      <c r="G11" s="974">
        <f>G45/F45-1</f>
        <v>0.042107600088803432</v>
      </c>
      <c r="H11" s="245"/>
      <c r="I11" s="245"/>
      <c r="J11" s="245"/>
      <c r="K11" s="245"/>
      <c r="L11" s="974">
        <f>L45/G45-1</f>
        <v>0.051448657861099312</v>
      </c>
      <c r="M11" s="381">
        <f t="shared" si="13" ref="M11:AL11">M45/H45-1</f>
        <v>0.048357009614004909</v>
      </c>
      <c r="N11" s="381">
        <f t="shared" si="13"/>
        <v>0.043725983834636217</v>
      </c>
      <c r="O11" s="381">
        <f t="shared" si="13"/>
        <v>0.042536835361947523</v>
      </c>
      <c r="P11" s="381">
        <f t="shared" si="13"/>
        <v>0.035518376302797527</v>
      </c>
      <c r="Q11" s="974">
        <f t="shared" si="13"/>
        <v>0.042481342653564402</v>
      </c>
      <c r="R11" s="381">
        <f t="shared" si="13"/>
        <v>0.003558718861210064</v>
      </c>
      <c r="S11" s="381">
        <f t="shared" si="13"/>
        <v>-0.0011425669671194516</v>
      </c>
      <c r="T11" s="381">
        <f t="shared" si="13"/>
        <v>-0.0015976404080128015</v>
      </c>
      <c r="U11" s="381">
        <f t="shared" si="13"/>
        <v>0.0017216262746655442</v>
      </c>
      <c r="V11" s="974">
        <f t="shared" si="13"/>
        <v>0.00055067863042990162</v>
      </c>
      <c r="W11" s="381">
        <f t="shared" si="13"/>
        <v>0.018685215493726037</v>
      </c>
      <c r="X11" s="381">
        <f t="shared" si="13"/>
        <v>0.020589730554143371</v>
      </c>
      <c r="Y11" s="381">
        <f t="shared" si="13"/>
        <v>0.023018217626784798</v>
      </c>
      <c r="Z11" s="381">
        <f t="shared" si="13"/>
        <v>0.036224219989423601</v>
      </c>
      <c r="AA11" s="974">
        <f t="shared" si="13"/>
        <v>0.024605024605024672</v>
      </c>
      <c r="AB11" s="381">
        <f t="shared" si="13"/>
        <v>0.050207524434328521</v>
      </c>
      <c r="AC11" s="381">
        <f t="shared" si="13"/>
        <v>0.063636363636363713</v>
      </c>
      <c r="AD11" s="381">
        <f t="shared" si="13"/>
        <v>0.058837684995788786</v>
      </c>
      <c r="AE11" s="381">
        <f t="shared" si="13"/>
        <v>0.067874457769839136</v>
      </c>
      <c r="AF11" s="974">
        <f t="shared" si="13"/>
        <v>0.060256572295247723</v>
      </c>
      <c r="AG11" s="381">
        <f t="shared" si="13"/>
        <v>0.061575726670066278</v>
      </c>
      <c r="AH11" s="381">
        <f t="shared" si="13"/>
        <v>0.058775319049291674</v>
      </c>
      <c r="AI11" s="381">
        <f t="shared" si="13"/>
        <v>0.058181818181818112</v>
      </c>
      <c r="AJ11" s="381">
        <f t="shared" si="13"/>
        <v>0.043847072879330984</v>
      </c>
      <c r="AK11" s="974">
        <f t="shared" si="13"/>
        <v>0.055550588585903782</v>
      </c>
      <c r="AL11" s="381">
        <f t="shared" si="13"/>
        <v>0.031824186381649966</v>
      </c>
      <c r="AM11" s="381">
        <f t="shared" si="14" ref="AM11:AR11">AM45/AH45-1</f>
        <v>0.014265177485347724</v>
      </c>
      <c r="AN11" s="381">
        <f t="shared" si="14"/>
        <v>0.0089132302405499075</v>
      </c>
      <c r="AO11" s="381">
        <f t="shared" si="14"/>
        <v>-0.014650337644500411</v>
      </c>
      <c r="AP11" s="974">
        <f t="shared" si="14"/>
        <v>0.0098534684773710079</v>
      </c>
      <c r="AQ11" s="381">
        <f t="shared" si="14"/>
        <v>0.13687150837988837</v>
      </c>
      <c r="AR11" s="381">
        <f t="shared" si="14"/>
        <v>0.12549062363715646</v>
      </c>
      <c r="AS11" s="381">
        <f t="shared" si="15" ref="AS11:AX11">AS45/AN45-1</f>
        <v>0.16721660457690257</v>
      </c>
      <c r="AT11" s="381">
        <f t="shared" si="15"/>
        <v>0.1965385062144267</v>
      </c>
      <c r="AU11" s="974">
        <f t="shared" si="15"/>
        <v>0.15628494743905175</v>
      </c>
      <c r="AV11" s="381">
        <f t="shared" si="15"/>
        <v>0.10165847665847672</v>
      </c>
      <c r="AW11" s="381">
        <f t="shared" si="15"/>
        <v>0.11488908263101805</v>
      </c>
      <c r="AX11" s="381">
        <f t="shared" si="15"/>
        <v>0.09766551158125103</v>
      </c>
      <c r="AY11" s="381">
        <f t="shared" si="16" ref="AY11:AZ11">AY45/AT45-1</f>
        <v>0.1144549072905543</v>
      </c>
      <c r="AZ11" s="974">
        <f t="shared" si="16"/>
        <v>0.10708931766526431</v>
      </c>
      <c r="BA11" s="381">
        <f t="shared" si="17" ref="BA11:BO11">BA45/AV45-1</f>
        <v>0.094972586190874564</v>
      </c>
      <c r="BB11" s="381">
        <f t="shared" si="17"/>
        <v>0.096533147971153088</v>
      </c>
      <c r="BC11" s="381">
        <f t="shared" si="17"/>
        <v>0.10525878541164735</v>
      </c>
      <c r="BD11" s="381">
        <f t="shared" si="17"/>
        <v>0.10104529616724744</v>
      </c>
      <c r="BE11" s="974">
        <f t="shared" si="17"/>
        <v>0.099591587131718562</v>
      </c>
      <c r="BF11" s="381">
        <f>BF45/BA45-1</f>
        <v>0.11881524229822626</v>
      </c>
      <c r="BG11" s="381">
        <f>BG45/BB45-1</f>
        <v>0.13145800316957201</v>
      </c>
      <c r="BH11" s="734">
        <f>BH45/BC45-1</f>
        <v>0.10545700541190617</v>
      </c>
      <c r="BI11" s="245">
        <f t="shared" si="17"/>
        <v>-0.030543512658227856</v>
      </c>
      <c r="BJ11" s="970">
        <f t="shared" si="17"/>
        <v>0.080956760085009849</v>
      </c>
      <c r="BK11" s="245">
        <f t="shared" si="17"/>
        <v>0.084218311461731199</v>
      </c>
      <c r="BL11" s="245">
        <f t="shared" si="17"/>
        <v>0.079865536802297132</v>
      </c>
      <c r="BM11" s="245">
        <f t="shared" si="17"/>
        <v>0.078506833480655791</v>
      </c>
      <c r="BN11" s="245">
        <f t="shared" si="17"/>
        <v>0.083758965491071091</v>
      </c>
      <c r="BO11" s="970">
        <f t="shared" si="17"/>
        <v>0.081429399335905206</v>
      </c>
      <c r="BP11" s="970">
        <f>BP45/BO45-1</f>
        <v>0.029745134431520048</v>
      </c>
      <c r="BQ11" s="970">
        <f>BQ45/BP45-1</f>
        <v>0.02975249645765965</v>
      </c>
      <c r="BR11" s="970">
        <f>BR45/BQ45-1</f>
        <v>0.029759647543276424</v>
      </c>
      <c r="BS11" s="47"/>
    </row>
    <row r="12" spans="1:71" s="25" customFormat="1" ht="15">
      <c r="A12" s="154" t="s">
        <v>627</v>
      </c>
      <c r="B12" s="478"/>
      <c r="C12" s="975"/>
      <c r="D12" s="976">
        <f>D47/C47-1</f>
        <v>-0.0024642870894459046</v>
      </c>
      <c r="E12" s="976">
        <f>E47/D47-1</f>
        <v>0.0028177712587331705</v>
      </c>
      <c r="F12" s="976">
        <f>F47/E47-1</f>
        <v>0.040300230946882287</v>
      </c>
      <c r="G12" s="976">
        <f>G47/F47-1</f>
        <v>0.042069042069042162</v>
      </c>
      <c r="H12" s="156"/>
      <c r="I12" s="156"/>
      <c r="J12" s="156"/>
      <c r="K12" s="156"/>
      <c r="L12" s="976">
        <f t="shared" si="18" ref="L12:AA12">L47/G47-1</f>
        <v>0.051484164181224257</v>
      </c>
      <c r="M12" s="155">
        <f t="shared" si="18"/>
        <v>0.048357009614004909</v>
      </c>
      <c r="N12" s="155">
        <f t="shared" si="18"/>
        <v>0.043725983834636217</v>
      </c>
      <c r="O12" s="155">
        <f t="shared" si="18"/>
        <v>0.042403279528567817</v>
      </c>
      <c r="P12" s="155">
        <f t="shared" si="18"/>
        <v>0.035518376302797527</v>
      </c>
      <c r="Q12" s="976">
        <f t="shared" si="18"/>
        <v>0.042446140339028826</v>
      </c>
      <c r="R12" s="155">
        <f t="shared" si="18"/>
        <v>0.003558718861210064</v>
      </c>
      <c r="S12" s="155">
        <f t="shared" si="18"/>
        <v>-0.0011425669671194516</v>
      </c>
      <c r="T12" s="155">
        <f t="shared" si="18"/>
        <v>-0.0013518495760108662</v>
      </c>
      <c r="U12" s="155">
        <f t="shared" si="18"/>
        <v>0.0018540590650244493</v>
      </c>
      <c r="V12" s="976">
        <f t="shared" si="18"/>
        <v>0.00064785721227034188</v>
      </c>
      <c r="W12" s="155">
        <f t="shared" si="18"/>
        <v>0.018685215493726037</v>
      </c>
      <c r="X12" s="155">
        <f t="shared" si="18"/>
        <v>0.020589730554143371</v>
      </c>
      <c r="Y12" s="155">
        <f t="shared" si="18"/>
        <v>0.022766428747231116</v>
      </c>
      <c r="Z12" s="155">
        <f t="shared" si="18"/>
        <v>0.036087243886318676</v>
      </c>
      <c r="AA12" s="976">
        <f t="shared" si="18"/>
        <v>0.024505519406947007</v>
      </c>
      <c r="AB12" s="155">
        <f t="shared" si="19" ref="AB12:AP12">AB47/W47-1</f>
        <v>0.050207524434328521</v>
      </c>
      <c r="AC12" s="155">
        <f t="shared" si="19"/>
        <v>0.063636363636363713</v>
      </c>
      <c r="AD12" s="155">
        <f t="shared" si="19"/>
        <v>0.058837684995788786</v>
      </c>
      <c r="AE12" s="155">
        <f t="shared" si="19"/>
        <v>0.067874457769839136</v>
      </c>
      <c r="AF12" s="976">
        <f t="shared" si="19"/>
        <v>0.060256572295247723</v>
      </c>
      <c r="AG12" s="155">
        <f t="shared" si="19"/>
        <v>0.061575726670066278</v>
      </c>
      <c r="AH12" s="155">
        <f t="shared" si="19"/>
        <v>0.058775319049291674</v>
      </c>
      <c r="AI12" s="155">
        <f t="shared" si="19"/>
        <v>0.058181818181818112</v>
      </c>
      <c r="AJ12" s="155">
        <f t="shared" si="19"/>
        <v>0.043847072879330984</v>
      </c>
      <c r="AK12" s="976">
        <f t="shared" si="19"/>
        <v>0.055550588585903782</v>
      </c>
      <c r="AL12" s="155">
        <f t="shared" si="19"/>
        <v>0.031824186381649966</v>
      </c>
      <c r="AM12" s="155">
        <f>AM47/AH47-1</f>
        <v>0.014265177485347724</v>
      </c>
      <c r="AN12" s="155">
        <f>AN47/AI47-1</f>
        <v>0.0089132302405499075</v>
      </c>
      <c r="AO12" s="155">
        <f t="shared" si="19"/>
        <v>-0.014650337644500411</v>
      </c>
      <c r="AP12" s="976">
        <f t="shared" si="19"/>
        <v>0.0098534684773710079</v>
      </c>
      <c r="AQ12" s="155">
        <f t="shared" si="20" ref="AQ12:AV12">AQ47/AL47-1</f>
        <v>0.13687150837988837</v>
      </c>
      <c r="AR12" s="155">
        <f t="shared" si="20"/>
        <v>0.12549062363715646</v>
      </c>
      <c r="AS12" s="155">
        <f t="shared" si="20"/>
        <v>0.16721660457690257</v>
      </c>
      <c r="AT12" s="155">
        <f t="shared" si="20"/>
        <v>0.1965385062144267</v>
      </c>
      <c r="AU12" s="976">
        <f t="shared" si="20"/>
        <v>0.15628494743905175</v>
      </c>
      <c r="AV12" s="155">
        <f t="shared" si="20"/>
        <v>0.10165847665847672</v>
      </c>
      <c r="AW12" s="155">
        <f t="shared" si="21" ref="AW12:BJ12">AW47/AR47-1</f>
        <v>0.11488908263101805</v>
      </c>
      <c r="AX12" s="155">
        <f t="shared" si="21"/>
        <v>0.09766551158125103</v>
      </c>
      <c r="AY12" s="155">
        <f t="shared" si="21"/>
        <v>0.1144549072905543</v>
      </c>
      <c r="AZ12" s="976">
        <f t="shared" si="21"/>
        <v>0.10708931766526431</v>
      </c>
      <c r="BA12" s="155">
        <f t="shared" si="22" ref="BA12:BI12">BA47/AV47-1</f>
        <v>0.094972586190874564</v>
      </c>
      <c r="BB12" s="155">
        <f t="shared" si="22"/>
        <v>0.096533147971153088</v>
      </c>
      <c r="BC12" s="155">
        <f t="shared" si="22"/>
        <v>0.10525878541164735</v>
      </c>
      <c r="BD12" s="155">
        <f t="shared" si="22"/>
        <v>0.10104529616724744</v>
      </c>
      <c r="BE12" s="976">
        <f t="shared" si="22"/>
        <v>0.099591587131718562</v>
      </c>
      <c r="BF12" s="155">
        <f>BF47/BA47-1</f>
        <v>0.11881524229822626</v>
      </c>
      <c r="BG12" s="155">
        <f>BG47/BB47-1</f>
        <v>0.13145800316957201</v>
      </c>
      <c r="BH12" s="735">
        <f>BH47/BC47-1</f>
        <v>0.10545700541190617</v>
      </c>
      <c r="BI12" s="156">
        <f t="shared" si="22"/>
        <v>-0.030543512658227856</v>
      </c>
      <c r="BJ12" s="975">
        <f t="shared" si="21"/>
        <v>0.080956760085009849</v>
      </c>
      <c r="BK12" s="156">
        <f>BK47/BF47-1</f>
        <v>0.084218311461731199</v>
      </c>
      <c r="BL12" s="156">
        <f>BL47/BG47-1</f>
        <v>0.079865536802297132</v>
      </c>
      <c r="BM12" s="156">
        <f>BM47/BH47-1</f>
        <v>0.078506833480655791</v>
      </c>
      <c r="BN12" s="156">
        <f>BN47/BI47-1</f>
        <v>0.083758965491071091</v>
      </c>
      <c r="BO12" s="975">
        <f>BO47/BJ47-1</f>
        <v>0.081429399335905206</v>
      </c>
      <c r="BP12" s="975">
        <f>BP47/BO47-1</f>
        <v>0.029745134431520048</v>
      </c>
      <c r="BQ12" s="975">
        <f>BQ47/BP47-1</f>
        <v>0.02975249645765965</v>
      </c>
      <c r="BR12" s="975">
        <f>BR47/BQ47-1</f>
        <v>0.029759647543276424</v>
      </c>
      <c r="BS12" s="158"/>
    </row>
    <row r="13" spans="1:71" s="25" customFormat="1" ht="15">
      <c r="A13" s="490"/>
      <c r="B13" s="477"/>
      <c r="C13" s="977"/>
      <c r="D13" s="977"/>
      <c r="E13" s="977"/>
      <c r="F13" s="977"/>
      <c r="G13" s="977"/>
      <c r="H13" s="140"/>
      <c r="I13" s="140"/>
      <c r="J13" s="140"/>
      <c r="K13" s="140"/>
      <c r="L13" s="977"/>
      <c r="M13" s="140"/>
      <c r="N13" s="140"/>
      <c r="O13" s="140"/>
      <c r="P13" s="140"/>
      <c r="Q13" s="977"/>
      <c r="R13" s="140"/>
      <c r="S13" s="140"/>
      <c r="T13" s="140"/>
      <c r="U13" s="140"/>
      <c r="V13" s="977"/>
      <c r="W13" s="140"/>
      <c r="X13" s="140"/>
      <c r="Y13" s="140"/>
      <c r="Z13" s="140"/>
      <c r="AA13" s="977"/>
      <c r="AB13" s="140"/>
      <c r="AC13" s="140"/>
      <c r="AD13" s="140"/>
      <c r="AE13" s="140"/>
      <c r="AF13" s="977"/>
      <c r="AG13" s="140"/>
      <c r="AH13" s="140"/>
      <c r="AI13" s="140"/>
      <c r="AJ13" s="140"/>
      <c r="AK13" s="977"/>
      <c r="AL13" s="140"/>
      <c r="AM13" s="140"/>
      <c r="AN13" s="140"/>
      <c r="AO13" s="140"/>
      <c r="AP13" s="977"/>
      <c r="AQ13" s="140"/>
      <c r="AR13" s="140"/>
      <c r="AS13" s="140"/>
      <c r="AT13" s="140"/>
      <c r="AU13" s="977"/>
      <c r="AV13" s="140"/>
      <c r="AW13" s="140"/>
      <c r="AX13" s="140"/>
      <c r="AY13" s="140"/>
      <c r="AZ13" s="977"/>
      <c r="BA13" s="140"/>
      <c r="BB13" s="140"/>
      <c r="BC13" s="140"/>
      <c r="BD13" s="140"/>
      <c r="BE13" s="977"/>
      <c r="BF13" s="140"/>
      <c r="BG13" s="140"/>
      <c r="BH13" s="736"/>
      <c r="BI13" s="140"/>
      <c r="BJ13" s="977"/>
      <c r="BK13" s="140"/>
      <c r="BL13" s="140"/>
      <c r="BM13" s="140"/>
      <c r="BN13" s="140"/>
      <c r="BO13" s="977"/>
      <c r="BP13" s="977"/>
      <c r="BQ13" s="977"/>
      <c r="BR13" s="977"/>
      <c r="BS13" s="158"/>
    </row>
    <row r="14" spans="1:71" s="24" customFormat="1" ht="15">
      <c r="A14" s="571" t="s">
        <v>819</v>
      </c>
      <c r="B14" s="475"/>
      <c r="C14" s="970"/>
      <c r="D14" s="974">
        <f t="shared" si="23" ref="D14:F17">D58/C58-1</f>
        <v>-0.0098250795093139942</v>
      </c>
      <c r="E14" s="974">
        <f t="shared" si="23"/>
        <v>-0.0078004014912532726</v>
      </c>
      <c r="F14" s="974">
        <f t="shared" si="23"/>
        <v>0.036360483264928689</v>
      </c>
      <c r="G14" s="974">
        <f>G58/F58-1</f>
        <v>0.029060687193217305</v>
      </c>
      <c r="H14" s="245"/>
      <c r="I14" s="245"/>
      <c r="J14" s="245"/>
      <c r="K14" s="245"/>
      <c r="L14" s="974">
        <f t="shared" si="24" ref="L14:AP17">L58/G58-1</f>
        <v>0.048512114477749391</v>
      </c>
      <c r="M14" s="381">
        <f t="shared" si="24"/>
        <v>0.056663837011884599</v>
      </c>
      <c r="N14" s="381">
        <f t="shared" si="24"/>
        <v>0.054311774461028195</v>
      </c>
      <c r="O14" s="381">
        <f t="shared" si="24"/>
        <v>0.053987730061349604</v>
      </c>
      <c r="P14" s="381">
        <f t="shared" si="24"/>
        <v>0.05551037006913373</v>
      </c>
      <c r="Q14" s="974">
        <f t="shared" si="24"/>
        <v>0.055107526881720492</v>
      </c>
      <c r="R14" s="381">
        <f t="shared" si="24"/>
        <v>0.048403293834103245</v>
      </c>
      <c r="S14" s="381">
        <f t="shared" si="24"/>
        <v>0.043255996854109302</v>
      </c>
      <c r="T14" s="381">
        <f t="shared" si="24"/>
        <v>0.038610787737679564</v>
      </c>
      <c r="U14" s="381">
        <f t="shared" si="24"/>
        <v>0.037372375264881574</v>
      </c>
      <c r="V14" s="974">
        <f t="shared" si="24"/>
        <v>0.04184223419892219</v>
      </c>
      <c r="W14" s="381">
        <f t="shared" si="24"/>
        <v>0.032183908045976928</v>
      </c>
      <c r="X14" s="381">
        <f t="shared" si="24"/>
        <v>0.024877497173011687</v>
      </c>
      <c r="Y14" s="381">
        <f t="shared" si="24"/>
        <v>0.027648047823650268</v>
      </c>
      <c r="Z14" s="381">
        <f t="shared" si="24"/>
        <v>0.030826369545032595</v>
      </c>
      <c r="AA14" s="974">
        <f t="shared" si="24"/>
        <v>0.028875094055681005</v>
      </c>
      <c r="AB14" s="381">
        <f t="shared" si="24"/>
        <v>0.037676317743132959</v>
      </c>
      <c r="AC14" s="381">
        <f t="shared" si="24"/>
        <v>0.049098933431408698</v>
      </c>
      <c r="AD14" s="381">
        <f t="shared" si="24"/>
        <v>0.053990183602981245</v>
      </c>
      <c r="AE14" s="381">
        <f t="shared" si="24"/>
        <v>0.058548009367681564</v>
      </c>
      <c r="AF14" s="974">
        <f t="shared" si="24"/>
        <v>0.049913154767346146</v>
      </c>
      <c r="AG14" s="381">
        <f t="shared" si="24"/>
        <v>0.060633160436415645</v>
      </c>
      <c r="AH14" s="381">
        <f t="shared" si="24"/>
        <v>0.057843996494303163</v>
      </c>
      <c r="AI14" s="381">
        <f t="shared" si="24"/>
        <v>0.048637461193514975</v>
      </c>
      <c r="AJ14" s="381">
        <f t="shared" si="24"/>
        <v>0.045439074200136043</v>
      </c>
      <c r="AK14" s="974">
        <f t="shared" si="24"/>
        <v>0.053025685676969969</v>
      </c>
      <c r="AL14" s="381">
        <f t="shared" si="24"/>
        <v>0.037942664418212368</v>
      </c>
      <c r="AM14" s="381">
        <f t="shared" si="24"/>
        <v>0.02270091135045571</v>
      </c>
      <c r="AN14" s="381">
        <f t="shared" si="24"/>
        <v>0.021381578947368363</v>
      </c>
      <c r="AO14" s="381">
        <f t="shared" si="24"/>
        <v>-0.0065114764772912226</v>
      </c>
      <c r="AP14" s="974">
        <f t="shared" si="24"/>
        <v>0.01868695220770622</v>
      </c>
      <c r="AQ14" s="381">
        <f t="shared" si="25" ref="AQ14:AV14">AQ58/AL58-1</f>
        <v>0.10625507717302995</v>
      </c>
      <c r="AR14" s="381">
        <f t="shared" si="25"/>
        <v>0.11519766688269595</v>
      </c>
      <c r="AS14" s="381">
        <f t="shared" si="25"/>
        <v>0.11304347826086958</v>
      </c>
      <c r="AT14" s="381">
        <f t="shared" si="25"/>
        <v>0.15009011961330487</v>
      </c>
      <c r="AU14" s="974">
        <f t="shared" si="25"/>
        <v>0.12106331168831175</v>
      </c>
      <c r="AV14" s="381">
        <f t="shared" si="25"/>
        <v>0.039947128800117415</v>
      </c>
      <c r="AW14" s="381">
        <f t="shared" si="26" ref="AW14:AX17">AW58/AR58-1</f>
        <v>0.067557750980677067</v>
      </c>
      <c r="AX14" s="381">
        <f t="shared" si="26"/>
        <v>0.09157986111111116</v>
      </c>
      <c r="AY14" s="381">
        <f t="shared" si="27" ref="AY14:AZ17">AY58/AT58-1</f>
        <v>0.10286365579142331</v>
      </c>
      <c r="AZ14" s="974">
        <f t="shared" si="27"/>
        <v>0.075733989791116008</v>
      </c>
      <c r="BA14" s="381">
        <f t="shared" si="28" ref="BA14:BB17">BA58/AV58-1</f>
        <v>0.11679141364214085</v>
      </c>
      <c r="BB14" s="381">
        <f t="shared" si="28"/>
        <v>0.1051986935220468</v>
      </c>
      <c r="BC14" s="381">
        <f t="shared" si="29" ref="BC14:BI17">BC58/AX58-1</f>
        <v>0.1060304837640822</v>
      </c>
      <c r="BD14" s="381">
        <f t="shared" si="29"/>
        <v>0.10657537785815796</v>
      </c>
      <c r="BE14" s="974">
        <f t="shared" si="29"/>
        <v>0.10853104492680465</v>
      </c>
      <c r="BF14" s="381">
        <f t="shared" si="30" ref="BF14:BG17">BF58/BA58-1</f>
        <v>0.11001517450682852</v>
      </c>
      <c r="BG14" s="381">
        <f t="shared" si="30"/>
        <v>0.11796576776259071</v>
      </c>
      <c r="BH14" s="734">
        <f>BH58/BC58-1</f>
        <v>0.11084481725584183</v>
      </c>
      <c r="BI14" s="245">
        <f t="shared" si="29"/>
        <v>0.12752626663553568</v>
      </c>
      <c r="BJ14" s="970">
        <f t="shared" si="31" ref="BJ14:BJ17">BJ58/BE58-1</f>
        <v>0.11673922282938665</v>
      </c>
      <c r="BK14" s="245">
        <f t="shared" si="32" ref="BK14:BO17">BK58/BF58-1</f>
        <v>0.16083082706766927</v>
      </c>
      <c r="BL14" s="245">
        <f t="shared" si="32"/>
        <v>0.11358916180196066</v>
      </c>
      <c r="BM14" s="245">
        <f t="shared" si="32"/>
        <v>0.12060097087378652</v>
      </c>
      <c r="BN14" s="245">
        <f t="shared" si="32"/>
        <v>0.10000000000000009</v>
      </c>
      <c r="BO14" s="970">
        <f t="shared" si="32"/>
        <v>0.12306132951152637</v>
      </c>
      <c r="BP14" s="970">
        <f t="shared" si="33" ref="BP14:BR17">BP58/BO58-1</f>
        <v>-0.0068534331791036962</v>
      </c>
      <c r="BQ14" s="970">
        <f t="shared" si="33"/>
        <v>0.030000000000000027</v>
      </c>
      <c r="BR14" s="970">
        <f t="shared" si="33"/>
        <v>0.029999999999999805</v>
      </c>
      <c r="BS14" s="47"/>
    </row>
    <row r="15" spans="1:71" s="24" customFormat="1" ht="15">
      <c r="A15" s="571" t="s">
        <v>820</v>
      </c>
      <c r="B15" s="475"/>
      <c r="C15" s="970"/>
      <c r="D15" s="974">
        <f t="shared" si="23"/>
        <v>0.00016455487905209232</v>
      </c>
      <c r="E15" s="974">
        <f t="shared" si="23"/>
        <v>0.020072392234287584</v>
      </c>
      <c r="F15" s="974">
        <f t="shared" si="23"/>
        <v>0.025645161290322571</v>
      </c>
      <c r="G15" s="974">
        <f t="shared" si="34" ref="G15:G17">G59/F59-1</f>
        <v>0.039943387325051205</v>
      </c>
      <c r="H15" s="245"/>
      <c r="I15" s="245"/>
      <c r="J15" s="245"/>
      <c r="K15" s="245"/>
      <c r="L15" s="974">
        <f t="shared" si="24"/>
        <v>0.044004234084379146</v>
      </c>
      <c r="M15" s="381">
        <f t="shared" si="24"/>
        <v>0.037713612256923934</v>
      </c>
      <c r="N15" s="381">
        <f t="shared" si="24"/>
        <v>0.035589264877479598</v>
      </c>
      <c r="O15" s="381">
        <f t="shared" si="24"/>
        <v>0.031609195402298784</v>
      </c>
      <c r="P15" s="381">
        <f t="shared" si="24"/>
        <v>0.029663434112949139</v>
      </c>
      <c r="Q15" s="974">
        <f t="shared" si="24"/>
        <v>0.033603707995365051</v>
      </c>
      <c r="R15" s="381">
        <f t="shared" si="24"/>
        <v>0.027825099375354823</v>
      </c>
      <c r="S15" s="381">
        <f t="shared" si="24"/>
        <v>0.022535211267605604</v>
      </c>
      <c r="T15" s="381">
        <f t="shared" si="24"/>
        <v>0.010027855153203369</v>
      </c>
      <c r="U15" s="381">
        <f t="shared" si="24"/>
        <v>0.0077562326869806686</v>
      </c>
      <c r="V15" s="974">
        <f t="shared" si="24"/>
        <v>0.016956278026905913</v>
      </c>
      <c r="W15" s="381">
        <f t="shared" si="24"/>
        <v>0.0027624309392264568</v>
      </c>
      <c r="X15" s="381">
        <f t="shared" si="24"/>
        <v>0</v>
      </c>
      <c r="Y15" s="381">
        <f t="shared" si="24"/>
        <v>0.010479867622724681</v>
      </c>
      <c r="Z15" s="381">
        <f t="shared" si="24"/>
        <v>0.015942825728422205</v>
      </c>
      <c r="AA15" s="974">
        <f t="shared" si="24"/>
        <v>0.0073032933719168192</v>
      </c>
      <c r="AB15" s="381">
        <f t="shared" si="24"/>
        <v>0.018181818181818077</v>
      </c>
      <c r="AC15" s="381">
        <f t="shared" si="24"/>
        <v>0.026997245179063434</v>
      </c>
      <c r="AD15" s="381">
        <f t="shared" si="24"/>
        <v>0.032205240174672412</v>
      </c>
      <c r="AE15" s="381">
        <f t="shared" si="24"/>
        <v>0.035714285714285809</v>
      </c>
      <c r="AF15" s="974">
        <f t="shared" si="24"/>
        <v>0.028317373461012263</v>
      </c>
      <c r="AG15" s="381">
        <f t="shared" si="24"/>
        <v>0.047077922077922052</v>
      </c>
      <c r="AH15" s="381">
        <f t="shared" si="24"/>
        <v>0.050429184549356298</v>
      </c>
      <c r="AI15" s="381">
        <f t="shared" si="24"/>
        <v>0.056054997355896363</v>
      </c>
      <c r="AJ15" s="381">
        <f t="shared" si="24"/>
        <v>0.056426332288401326</v>
      </c>
      <c r="AK15" s="974">
        <f t="shared" si="24"/>
        <v>0.052547558866569144</v>
      </c>
      <c r="AL15" s="381">
        <f t="shared" si="24"/>
        <v>0.052713178294573559</v>
      </c>
      <c r="AM15" s="381">
        <f t="shared" si="24"/>
        <v>0.049029622063329947</v>
      </c>
      <c r="AN15" s="381">
        <f t="shared" si="24"/>
        <v>0.038057085628442566</v>
      </c>
      <c r="AO15" s="381">
        <f t="shared" si="24"/>
        <v>0.033630069238377747</v>
      </c>
      <c r="AP15" s="974">
        <f t="shared" si="24"/>
        <v>0.043225480283114237</v>
      </c>
      <c r="AQ15" s="381">
        <f t="shared" si="35" ref="AQ15:AQ17">AQ59/AL59-1</f>
        <v>0.17427589592538051</v>
      </c>
      <c r="AR15" s="381">
        <f t="shared" si="36" ref="AR15:AS17">AR59/AM59-1</f>
        <v>0.17380720545277506</v>
      </c>
      <c r="AS15" s="381">
        <f t="shared" si="36"/>
        <v>0.216594307766522</v>
      </c>
      <c r="AT15" s="381">
        <f t="shared" si="37" ref="AT15:AU17">AT59/AO59-1</f>
        <v>0.24497607655502396</v>
      </c>
      <c r="AU15" s="974">
        <f t="shared" si="37"/>
        <v>0.20268960503998068</v>
      </c>
      <c r="AV15" s="381">
        <f>AV59/AQ59-1</f>
        <v>0.040969899665551868</v>
      </c>
      <c r="AW15" s="381">
        <f t="shared" si="26"/>
        <v>0.064288676897552799</v>
      </c>
      <c r="AX15" s="381">
        <f t="shared" si="26"/>
        <v>0.04758128469468681</v>
      </c>
      <c r="AY15" s="381">
        <f t="shared" si="27"/>
        <v>0.04534973097617212</v>
      </c>
      <c r="AZ15" s="974">
        <f t="shared" si="27"/>
        <v>0.04946106578019549</v>
      </c>
      <c r="BA15" s="381">
        <f t="shared" si="28"/>
        <v>0.12851405622489964</v>
      </c>
      <c r="BB15" s="381">
        <f t="shared" si="28"/>
        <v>0.12353858144972718</v>
      </c>
      <c r="BC15" s="381">
        <f t="shared" si="29"/>
        <v>0.12376987130961403</v>
      </c>
      <c r="BD15" s="381">
        <f t="shared" si="29"/>
        <v>0.13125000000000009</v>
      </c>
      <c r="BE15" s="974">
        <f t="shared" si="29"/>
        <v>0.12679976962948736</v>
      </c>
      <c r="BF15" s="381">
        <f t="shared" si="30"/>
        <v>0.12241992882562269</v>
      </c>
      <c r="BG15" s="381">
        <f t="shared" si="30"/>
        <v>0.12903225806451624</v>
      </c>
      <c r="BH15" s="734">
        <f>BH59/BC59-1</f>
        <v>0.14617716402829228</v>
      </c>
      <c r="BI15" s="245">
        <f t="shared" si="29"/>
        <v>-0.048727981800455011</v>
      </c>
      <c r="BJ15" s="970">
        <f t="shared" si="31"/>
        <v>0.085191583610188193</v>
      </c>
      <c r="BK15" s="245">
        <f t="shared" si="32"/>
        <v>-0.06235066582117943</v>
      </c>
      <c r="BL15" s="245">
        <f t="shared" si="32"/>
        <v>0.21551612903225803</v>
      </c>
      <c r="BM15" s="245">
        <f t="shared" si="32"/>
        <v>0.23159476932118728</v>
      </c>
      <c r="BN15" s="245">
        <f t="shared" si="32"/>
        <v>0.050000000000000044</v>
      </c>
      <c r="BO15" s="970">
        <f t="shared" si="32"/>
        <v>0.11298484723838431</v>
      </c>
      <c r="BP15" s="970">
        <f t="shared" si="33"/>
        <v>0.04051020408163275</v>
      </c>
      <c r="BQ15" s="970">
        <f t="shared" si="33"/>
        <v>0.019595959595959611</v>
      </c>
      <c r="BR15" s="970">
        <f t="shared" si="33"/>
        <v>0.030000000000000027</v>
      </c>
      <c r="BS15" s="47"/>
    </row>
    <row r="16" spans="1:71" s="24" customFormat="1" ht="15">
      <c r="A16" s="571" t="s">
        <v>821</v>
      </c>
      <c r="B16" s="475"/>
      <c r="C16" s="970"/>
      <c r="D16" s="974">
        <f t="shared" si="23"/>
        <v>-0.027091633466135412</v>
      </c>
      <c r="E16" s="974">
        <f t="shared" si="23"/>
        <v>-0.35872235872235869</v>
      </c>
      <c r="F16" s="974">
        <f t="shared" si="23"/>
        <v>0.017879948914431676</v>
      </c>
      <c r="G16" s="974">
        <f t="shared" si="34"/>
        <v>0.021957340025094085</v>
      </c>
      <c r="H16" s="245"/>
      <c r="I16" s="245"/>
      <c r="J16" s="245"/>
      <c r="K16" s="245"/>
      <c r="L16" s="974">
        <f t="shared" si="24"/>
        <v>0.020257826887661201</v>
      </c>
      <c r="M16" s="381">
        <f t="shared" si="24"/>
        <v>0.019417475728155331</v>
      </c>
      <c r="N16" s="381">
        <f t="shared" si="24"/>
        <v>0.021739130434782705</v>
      </c>
      <c r="O16" s="381">
        <f t="shared" si="24"/>
        <v>0.01674641148325362</v>
      </c>
      <c r="P16" s="381">
        <f t="shared" si="24"/>
        <v>0.014354066985645897</v>
      </c>
      <c r="Q16" s="974">
        <f t="shared" si="24"/>
        <v>0.018050541516245522</v>
      </c>
      <c r="R16" s="381">
        <f t="shared" si="24"/>
        <v>0.0023809523809523725</v>
      </c>
      <c r="S16" s="381">
        <f t="shared" si="24"/>
        <v>0.0023640661938533203</v>
      </c>
      <c r="T16" s="381">
        <f t="shared" si="24"/>
        <v>0.0023529411764706687</v>
      </c>
      <c r="U16" s="381">
        <f t="shared" si="24"/>
        <v>0.011792452830188704</v>
      </c>
      <c r="V16" s="974">
        <f t="shared" si="24"/>
        <v>0.0047281323877068626</v>
      </c>
      <c r="W16" s="381">
        <f t="shared" si="24"/>
        <v>0.023752969121140222</v>
      </c>
      <c r="X16" s="381">
        <f t="shared" si="24"/>
        <v>0.028301886792452935</v>
      </c>
      <c r="Y16" s="381">
        <f t="shared" si="24"/>
        <v>0.030516431924882736</v>
      </c>
      <c r="Z16" s="381">
        <f t="shared" si="24"/>
        <v>0.034965034965035002</v>
      </c>
      <c r="AA16" s="974">
        <f t="shared" si="24"/>
        <v>0.029411764705882248</v>
      </c>
      <c r="AB16" s="381">
        <f t="shared" si="24"/>
        <v>0.030162412993039345</v>
      </c>
      <c r="AC16" s="381">
        <f t="shared" si="24"/>
        <v>0.043577981651376163</v>
      </c>
      <c r="AD16" s="381">
        <f t="shared" si="24"/>
        <v>0.036446469248291535</v>
      </c>
      <c r="AE16" s="381">
        <f t="shared" si="24"/>
        <v>0.022522522522522515</v>
      </c>
      <c r="AF16" s="974">
        <f t="shared" si="24"/>
        <v>0.033142857142857141</v>
      </c>
      <c r="AG16" s="381">
        <f t="shared" si="24"/>
        <v>0.033783783783783772</v>
      </c>
      <c r="AH16" s="381">
        <f t="shared" si="24"/>
        <v>0.01538461538461533</v>
      </c>
      <c r="AI16" s="381">
        <f t="shared" si="24"/>
        <v>0.03076923076923066</v>
      </c>
      <c r="AJ16" s="381">
        <f t="shared" si="24"/>
        <v>0.037444933920704804</v>
      </c>
      <c r="AK16" s="974">
        <f t="shared" si="24"/>
        <v>0.029314159292035402</v>
      </c>
      <c r="AL16" s="381">
        <f t="shared" si="24"/>
        <v>0.02614379084967311</v>
      </c>
      <c r="AM16" s="381">
        <f t="shared" si="24"/>
        <v>0.03463203463203457</v>
      </c>
      <c r="AN16" s="381">
        <f t="shared" si="24"/>
        <v>0.036247334754797356</v>
      </c>
      <c r="AO16" s="381">
        <f t="shared" si="24"/>
        <v>0.027600849256900206</v>
      </c>
      <c r="AP16" s="974">
        <f t="shared" si="24"/>
        <v>0.031166039763568021</v>
      </c>
      <c r="AQ16" s="381">
        <f t="shared" si="35"/>
        <v>0.072186836518046693</v>
      </c>
      <c r="AR16" s="381">
        <f t="shared" si="36"/>
        <v>0.085774058577405832</v>
      </c>
      <c r="AS16" s="381">
        <f t="shared" si="36"/>
        <v>0.072016460905349744</v>
      </c>
      <c r="AT16" s="381">
        <f t="shared" si="37"/>
        <v>0.099173553719008156</v>
      </c>
      <c r="AU16" s="974">
        <f t="shared" si="37"/>
        <v>0.082334549244398092</v>
      </c>
      <c r="AV16" s="381">
        <f>AV60/AQ60-1</f>
        <v>0.051485148514851531</v>
      </c>
      <c r="AW16" s="381">
        <f t="shared" si="26"/>
        <v>0.050096339113680166</v>
      </c>
      <c r="AX16" s="381">
        <f t="shared" si="26"/>
        <v>0.036468330134356908</v>
      </c>
      <c r="AY16" s="381">
        <f t="shared" si="27"/>
        <v>0.020676691729323293</v>
      </c>
      <c r="AZ16" s="974">
        <f t="shared" si="27"/>
        <v>0.039480019258546051</v>
      </c>
      <c r="BA16" s="381">
        <f t="shared" si="28"/>
        <v>0.058380414312617646</v>
      </c>
      <c r="BB16" s="381">
        <f t="shared" si="28"/>
        <v>0.077064220183486132</v>
      </c>
      <c r="BC16" s="381">
        <f t="shared" si="29"/>
        <v>0.125925925925926</v>
      </c>
      <c r="BD16" s="381">
        <f t="shared" si="29"/>
        <v>0.16022099447513805</v>
      </c>
      <c r="BE16" s="974">
        <f t="shared" si="29"/>
        <v>0.1056044465030106</v>
      </c>
      <c r="BF16" s="381">
        <f t="shared" si="30"/>
        <v>0.17259786476868322</v>
      </c>
      <c r="BG16" s="381">
        <f t="shared" si="30"/>
        <v>0.1942078364565587</v>
      </c>
      <c r="BH16" s="734">
        <f>BH60/BC60-1</f>
        <v>0.18092105263157898</v>
      </c>
      <c r="BI16" s="245">
        <f t="shared" si="29"/>
        <v>-0.083777777777777729</v>
      </c>
      <c r="BJ16" s="970">
        <f t="shared" si="31"/>
        <v>0.11236698785085886</v>
      </c>
      <c r="BK16" s="245">
        <f t="shared" si="32"/>
        <v>0.030561456752655536</v>
      </c>
      <c r="BL16" s="245">
        <f t="shared" si="32"/>
        <v>0.24037803138373759</v>
      </c>
      <c r="BM16" s="245">
        <f t="shared" si="32"/>
        <v>0.17088161559888571</v>
      </c>
      <c r="BN16" s="245">
        <f t="shared" si="32"/>
        <v>0.050000000000000044</v>
      </c>
      <c r="BO16" s="970">
        <f t="shared" si="32"/>
        <v>0.12812459984483371</v>
      </c>
      <c r="BP16" s="970">
        <f t="shared" si="33"/>
        <v>0.04051020408163275</v>
      </c>
      <c r="BQ16" s="970">
        <f t="shared" si="33"/>
        <v>0.019595959595959611</v>
      </c>
      <c r="BR16" s="970">
        <f t="shared" si="33"/>
        <v>0.030000000000000027</v>
      </c>
      <c r="BS16" s="47"/>
    </row>
    <row r="17" spans="1:71" s="24" customFormat="1" ht="15">
      <c r="A17" s="572" t="s">
        <v>822</v>
      </c>
      <c r="B17" s="476"/>
      <c r="C17" s="972"/>
      <c r="D17" s="972"/>
      <c r="E17" s="972"/>
      <c r="F17" s="978">
        <f t="shared" si="23"/>
        <v>-0.066666666666666652</v>
      </c>
      <c r="G17" s="978">
        <f t="shared" si="34"/>
        <v>-0.012987012987012991</v>
      </c>
      <c r="H17" s="385"/>
      <c r="I17" s="385"/>
      <c r="J17" s="385"/>
      <c r="K17" s="385"/>
      <c r="L17" s="978">
        <f t="shared" si="24"/>
        <v>0.043859649122806932</v>
      </c>
      <c r="M17" s="61">
        <f t="shared" si="24"/>
        <v>0.13636363636363646</v>
      </c>
      <c r="N17" s="61">
        <f t="shared" si="24"/>
        <v>0.057851239669421517</v>
      </c>
      <c r="O17" s="61">
        <f t="shared" si="24"/>
        <v>0.066666666666666652</v>
      </c>
      <c r="P17" s="61">
        <f t="shared" si="24"/>
        <v>0.032000000000000028</v>
      </c>
      <c r="Q17" s="978">
        <f t="shared" si="24"/>
        <v>0.071428571428571397</v>
      </c>
      <c r="R17" s="61">
        <f t="shared" si="24"/>
        <v>0.032000000000000028</v>
      </c>
      <c r="S17" s="61">
        <f t="shared" si="24"/>
        <v>-0.0078125</v>
      </c>
      <c r="T17" s="61">
        <f t="shared" si="24"/>
        <v>-0.0078125</v>
      </c>
      <c r="U17" s="61">
        <f t="shared" si="24"/>
        <v>-0.046511627906976716</v>
      </c>
      <c r="V17" s="978">
        <f t="shared" si="24"/>
        <v>-0.0078431372549019329</v>
      </c>
      <c r="W17" s="61">
        <f t="shared" si="24"/>
        <v>-0.031007751937984551</v>
      </c>
      <c r="X17" s="61">
        <f t="shared" si="24"/>
        <v>-0.07086614173228345</v>
      </c>
      <c r="Y17" s="61">
        <f t="shared" si="24"/>
        <v>-0.023622047244094446</v>
      </c>
      <c r="Z17" s="61">
        <f t="shared" si="24"/>
        <v>0.040650406504065151</v>
      </c>
      <c r="AA17" s="978">
        <f t="shared" si="24"/>
        <v>-0.021739130434782594</v>
      </c>
      <c r="AB17" s="61">
        <f t="shared" si="24"/>
        <v>0.088000000000000078</v>
      </c>
      <c r="AC17" s="61">
        <f t="shared" si="24"/>
        <v>0.39830508474576276</v>
      </c>
      <c r="AD17" s="61">
        <f t="shared" si="24"/>
        <v>0.41935483870967749</v>
      </c>
      <c r="AE17" s="61">
        <f t="shared" si="24"/>
        <v>0.390625</v>
      </c>
      <c r="AF17" s="978">
        <f t="shared" si="24"/>
        <v>0.32323232323232332</v>
      </c>
      <c r="AG17" s="61">
        <f t="shared" si="24"/>
        <v>0.34558823529411775</v>
      </c>
      <c r="AH17" s="61">
        <f t="shared" si="24"/>
        <v>0.36969696969696964</v>
      </c>
      <c r="AI17" s="61">
        <f t="shared" si="24"/>
        <v>0.34090909090909083</v>
      </c>
      <c r="AJ17" s="61">
        <f t="shared" si="24"/>
        <v>0.3314606741573034</v>
      </c>
      <c r="AK17" s="978">
        <f t="shared" si="24"/>
        <v>0.34656488549618314</v>
      </c>
      <c r="AL17" s="61">
        <f t="shared" si="24"/>
        <v>0.19125683060109289</v>
      </c>
      <c r="AM17" s="61">
        <f t="shared" si="24"/>
        <v>-0.29646017699115046</v>
      </c>
      <c r="AN17" s="61">
        <f t="shared" si="24"/>
        <v>-0.22457627118644063</v>
      </c>
      <c r="AO17" s="61">
        <f t="shared" si="24"/>
        <v>-0.12658227848101267</v>
      </c>
      <c r="AP17" s="978">
        <f t="shared" si="24"/>
        <v>-0.13038548752834467</v>
      </c>
      <c r="AQ17" s="61">
        <f t="shared" si="35"/>
        <v>-0.12844036697247707</v>
      </c>
      <c r="AR17" s="61">
        <f t="shared" si="36"/>
        <v>0.23270440251572322</v>
      </c>
      <c r="AS17" s="61">
        <f t="shared" si="36"/>
        <v>0.11475409836065564</v>
      </c>
      <c r="AT17" s="61">
        <f t="shared" si="37"/>
        <v>0.14492753623188404</v>
      </c>
      <c r="AU17" s="978">
        <f t="shared" si="37"/>
        <v>0.078226857887874868</v>
      </c>
      <c r="AV17" s="61">
        <f>AV61/AQ61-1</f>
        <v>0.48947368421052628</v>
      </c>
      <c r="AW17" s="61">
        <f t="shared" si="26"/>
        <v>0.50510204081632648</v>
      </c>
      <c r="AX17" s="61">
        <f t="shared" si="26"/>
        <v>0.4509803921568627</v>
      </c>
      <c r="AY17" s="61">
        <f t="shared" si="27"/>
        <v>0.050632911392405111</v>
      </c>
      <c r="AZ17" s="978">
        <f t="shared" si="27"/>
        <v>0.35792019347037485</v>
      </c>
      <c r="BA17" s="61">
        <f t="shared" si="28"/>
        <v>-0.18021201413427557</v>
      </c>
      <c r="BB17" s="61">
        <f t="shared" si="28"/>
        <v>-0.31525423728813562</v>
      </c>
      <c r="BC17" s="61">
        <f t="shared" si="29"/>
        <v>-0.34459459459459463</v>
      </c>
      <c r="BD17" s="61">
        <f t="shared" si="29"/>
        <v>-0.26506024096385539</v>
      </c>
      <c r="BE17" s="978">
        <f t="shared" si="29"/>
        <v>-0.27782724844167406</v>
      </c>
      <c r="BF17" s="61">
        <f t="shared" si="30"/>
        <v>-0.27155172413793105</v>
      </c>
      <c r="BG17" s="61">
        <f t="shared" si="30"/>
        <v>-0.21782178217821779</v>
      </c>
      <c r="BH17" s="737">
        <f>BH61/BC61-1</f>
        <v>-0.22164948453608246</v>
      </c>
      <c r="BI17" s="385">
        <f t="shared" si="29"/>
        <v>0.097754098360655739</v>
      </c>
      <c r="BJ17" s="972">
        <f t="shared" si="31"/>
        <v>-0.16289889025893955</v>
      </c>
      <c r="BK17" s="385">
        <f t="shared" si="32"/>
        <v>-0.044065088757396453</v>
      </c>
      <c r="BL17" s="385">
        <f t="shared" si="32"/>
        <v>-0.023101265822784822</v>
      </c>
      <c r="BM17" s="385">
        <f t="shared" si="32"/>
        <v>-0.29128476821192051</v>
      </c>
      <c r="BN17" s="385">
        <f t="shared" si="32"/>
        <v>-0.17615384615384599</v>
      </c>
      <c r="BO17" s="972">
        <f t="shared" si="32"/>
        <v>-0.13325944300172776</v>
      </c>
      <c r="BP17" s="972">
        <f t="shared" si="33"/>
        <v>0.018639134219342379</v>
      </c>
      <c r="BQ17" s="972">
        <f t="shared" si="33"/>
        <v>0.029999999999999805</v>
      </c>
      <c r="BR17" s="972">
        <f t="shared" si="33"/>
        <v>0.030000000000000027</v>
      </c>
      <c r="BS17" s="47"/>
    </row>
    <row r="18" spans="1:71" s="24" customFormat="1" ht="15">
      <c r="A18" s="106" t="s">
        <v>544</v>
      </c>
      <c r="B18" s="475"/>
      <c r="C18" s="970"/>
      <c r="D18" s="974">
        <f>D63/C63-1</f>
        <v>-0.0091620538270662522</v>
      </c>
      <c r="E18" s="974">
        <f t="shared" si="38" ref="E18:F18">E63/D63-1</f>
        <v>-0.00050086688499328957</v>
      </c>
      <c r="F18" s="974">
        <f t="shared" si="38"/>
        <v>0.0306452856371906</v>
      </c>
      <c r="G18" s="974">
        <f>G63/F63-1</f>
        <v>0.032950592811459734</v>
      </c>
      <c r="H18" s="245"/>
      <c r="I18" s="245"/>
      <c r="J18" s="245"/>
      <c r="K18" s="245"/>
      <c r="L18" s="974">
        <f>L63/G63-1</f>
        <v>0.047432833659207807</v>
      </c>
      <c r="M18" s="381">
        <f t="shared" si="39" ref="M18:AL18">M63/H63-1</f>
        <v>0.051245753114382842</v>
      </c>
      <c r="N18" s="381">
        <f t="shared" si="39"/>
        <v>0.047890061077179302</v>
      </c>
      <c r="O18" s="381">
        <f t="shared" si="39"/>
        <v>0.047084588009854933</v>
      </c>
      <c r="P18" s="381">
        <f t="shared" si="39"/>
        <v>0.046437482672581076</v>
      </c>
      <c r="Q18" s="974">
        <f t="shared" si="39"/>
        <v>0.047739214601769886</v>
      </c>
      <c r="R18" s="381">
        <f t="shared" si="39"/>
        <v>0.020737947751144681</v>
      </c>
      <c r="S18" s="381">
        <f t="shared" si="39"/>
        <v>0.016293548814412473</v>
      </c>
      <c r="T18" s="381">
        <f t="shared" si="39"/>
        <v>0.0090196078431372673</v>
      </c>
      <c r="U18" s="381">
        <f t="shared" si="39"/>
        <v>0.027420850443767408</v>
      </c>
      <c r="V18" s="974">
        <f t="shared" si="39"/>
        <v>0.013791283117225994</v>
      </c>
      <c r="W18" s="381">
        <f t="shared" si="39"/>
        <v>0.023614775725593562</v>
      </c>
      <c r="X18" s="381">
        <f t="shared" si="39"/>
        <v>0.017596454640250281</v>
      </c>
      <c r="Y18" s="381">
        <f t="shared" si="39"/>
        <v>0.022930431403031415</v>
      </c>
      <c r="Z18" s="381">
        <f t="shared" si="39"/>
        <v>0.027720474471377043</v>
      </c>
      <c r="AA18" s="974">
        <f t="shared" si="39"/>
        <v>0.022976535294692013</v>
      </c>
      <c r="AB18" s="381">
        <f t="shared" si="39"/>
        <v>0.033509472870215218</v>
      </c>
      <c r="AC18" s="381">
        <f t="shared" si="39"/>
        <v>0.048930447034712499</v>
      </c>
      <c r="AD18" s="381">
        <f t="shared" si="39"/>
        <v>0.053698074974670718</v>
      </c>
      <c r="AE18" s="381">
        <f t="shared" si="39"/>
        <v>0.056580102872914262</v>
      </c>
      <c r="AF18" s="974">
        <f t="shared" si="39"/>
        <v>0.048261381350809707</v>
      </c>
      <c r="AG18" s="381">
        <f t="shared" si="39"/>
        <v>0.060855468262875689</v>
      </c>
      <c r="AH18" s="381">
        <f t="shared" si="39"/>
        <v>0.060080595921357949</v>
      </c>
      <c r="AI18" s="61">
        <f t="shared" si="39"/>
        <v>0.055528846153846123</v>
      </c>
      <c r="AJ18" s="381">
        <f t="shared" si="39"/>
        <v>0.053550225599620083</v>
      </c>
      <c r="AK18" s="974">
        <f t="shared" si="39"/>
        <v>0.057450682852807189</v>
      </c>
      <c r="AL18" s="381">
        <f t="shared" si="39"/>
        <v>0.043963794522158262</v>
      </c>
      <c r="AM18" s="381">
        <f t="shared" si="40" ref="AM18:AQ18">AM63/AH63-1</f>
        <v>0.020965326575279386</v>
      </c>
      <c r="AN18" s="61">
        <f t="shared" si="40"/>
        <v>0.019357777271692189</v>
      </c>
      <c r="AO18" s="381">
        <f t="shared" si="40"/>
        <v>0.0012397159923362988</v>
      </c>
      <c r="AP18" s="974">
        <f t="shared" si="40"/>
        <v>0.021152024796946334</v>
      </c>
      <c r="AQ18" s="381">
        <f t="shared" si="40"/>
        <v>0.11428893142664109</v>
      </c>
      <c r="AR18" s="381">
        <f t="shared" si="41" ref="AR18:AW18">AR63/AM63-1</f>
        <v>0.12930159088344806</v>
      </c>
      <c r="AS18" s="61">
        <f t="shared" si="41"/>
        <v>0.13483020554066139</v>
      </c>
      <c r="AT18" s="381">
        <f t="shared" si="41"/>
        <v>0.16951823502926611</v>
      </c>
      <c r="AU18" s="974">
        <f t="shared" si="41"/>
        <v>0.13698707138842048</v>
      </c>
      <c r="AV18" s="381">
        <f t="shared" si="41"/>
        <v>0.060832659660468913</v>
      </c>
      <c r="AW18" s="381">
        <f t="shared" si="41"/>
        <v>0.086422220001998173</v>
      </c>
      <c r="AX18" s="61">
        <f t="shared" si="42" ref="AX18:BJ18">AX63/AS63-1</f>
        <v>0.098238015552711833</v>
      </c>
      <c r="AY18" s="381">
        <f t="shared" si="42"/>
        <v>0.095283926852743006</v>
      </c>
      <c r="AZ18" s="974">
        <f t="shared" si="42"/>
        <v>0.085405645918821271</v>
      </c>
      <c r="BA18" s="381">
        <f t="shared" si="43" ref="BA18:BI18">BA63/AV63-1</f>
        <v>0.1083063440655363</v>
      </c>
      <c r="BB18" s="381">
        <f t="shared" si="43"/>
        <v>0.096284715835939005</v>
      </c>
      <c r="BC18" s="61">
        <f t="shared" si="43"/>
        <v>0.099757999462221081</v>
      </c>
      <c r="BD18" s="381">
        <f t="shared" si="43"/>
        <v>0.10729349736379623</v>
      </c>
      <c r="BE18" s="974">
        <f t="shared" si="43"/>
        <v>0.10289462297023388</v>
      </c>
      <c r="BF18" s="381">
        <f>BF63/BA63-1</f>
        <v>0.10872367855608078</v>
      </c>
      <c r="BG18" s="381">
        <f>BG63/BB63-1</f>
        <v>0.1189497525375387</v>
      </c>
      <c r="BH18" s="737">
        <f>BH63/BC63-1</f>
        <v>0.11605541972290134</v>
      </c>
      <c r="BI18" s="245">
        <f t="shared" si="43"/>
        <v>0.070237520831679889</v>
      </c>
      <c r="BJ18" s="970">
        <f t="shared" si="42"/>
        <v>0.10308429182067869</v>
      </c>
      <c r="BK18" s="245">
        <f>BK63/BF63-1</f>
        <v>0.093822635658914688</v>
      </c>
      <c r="BL18" s="245">
        <f>BL63/BG63-1</f>
        <v>0.14050048729290077</v>
      </c>
      <c r="BM18" s="245">
        <f>BM63/BH63-1</f>
        <v>0.14278494231050098</v>
      </c>
      <c r="BN18" s="245">
        <f>BN63/BI63-1</f>
        <v>0.081985812316018425</v>
      </c>
      <c r="BO18" s="970">
        <f>BO63/BJ63-1</f>
        <v>0.11504153170938247</v>
      </c>
      <c r="BP18" s="970">
        <f>BP63/BO63-1</f>
        <v>0.0071108027800068641</v>
      </c>
      <c r="BQ18" s="970">
        <f>BQ63/BP63-1</f>
        <v>0.0266557460022665</v>
      </c>
      <c r="BR18" s="970">
        <f>BR63/BQ63-1</f>
        <v>0.029761313460326955</v>
      </c>
      <c r="BS18" s="47"/>
    </row>
    <row r="19" spans="1:71" s="25" customFormat="1" ht="15">
      <c r="A19" s="154" t="s">
        <v>628</v>
      </c>
      <c r="B19" s="478"/>
      <c r="C19" s="975"/>
      <c r="D19" s="976">
        <f>D65/C65-1</f>
        <v>-0.0090478735588302994</v>
      </c>
      <c r="E19" s="976">
        <f>E65/D65-1</f>
        <v>-0.00057787879955306654</v>
      </c>
      <c r="F19" s="976">
        <f>F65/E65-1</f>
        <v>0.0306452856371906</v>
      </c>
      <c r="G19" s="976">
        <f>G65/F65-1</f>
        <v>0.032950592811459734</v>
      </c>
      <c r="H19" s="156"/>
      <c r="I19" s="156"/>
      <c r="J19" s="156"/>
      <c r="K19" s="156"/>
      <c r="L19" s="976">
        <f t="shared" si="44" ref="L19:AP19">L65/G65-1</f>
        <v>0.047469041929176559</v>
      </c>
      <c r="M19" s="155">
        <f t="shared" si="44"/>
        <v>0.051245753114382842</v>
      </c>
      <c r="N19" s="155">
        <f t="shared" si="44"/>
        <v>0.047890061077179302</v>
      </c>
      <c r="O19" s="155">
        <f t="shared" si="44"/>
        <v>0.046941289174764034</v>
      </c>
      <c r="P19" s="155">
        <f t="shared" si="44"/>
        <v>0.046437482672581076</v>
      </c>
      <c r="Q19" s="976">
        <f t="shared" si="44"/>
        <v>0.047702996992637248</v>
      </c>
      <c r="R19" s="155">
        <f t="shared" si="44"/>
        <v>0.020737947751144681</v>
      </c>
      <c r="S19" s="155">
        <f t="shared" si="44"/>
        <v>0.016293548814412473</v>
      </c>
      <c r="T19" s="155">
        <f t="shared" si="44"/>
        <v>0.0090196078431372673</v>
      </c>
      <c r="U19" s="155">
        <f t="shared" si="44"/>
        <v>0.027420850443767408</v>
      </c>
      <c r="V19" s="976">
        <f t="shared" si="44"/>
        <v>0.013791283117225994</v>
      </c>
      <c r="W19" s="155">
        <f t="shared" si="44"/>
        <v>0.023614775725593562</v>
      </c>
      <c r="X19" s="155">
        <f t="shared" si="44"/>
        <v>0.017596454640250281</v>
      </c>
      <c r="Y19" s="155">
        <f t="shared" si="44"/>
        <v>0.022930431403031415</v>
      </c>
      <c r="Z19" s="155">
        <f t="shared" si="44"/>
        <v>0.027720474471377043</v>
      </c>
      <c r="AA19" s="976">
        <f t="shared" si="44"/>
        <v>0.022976535294692013</v>
      </c>
      <c r="AB19" s="155">
        <f t="shared" si="44"/>
        <v>0.033509472870215218</v>
      </c>
      <c r="AC19" s="155">
        <f t="shared" si="44"/>
        <v>0.048930447034712499</v>
      </c>
      <c r="AD19" s="155">
        <f t="shared" si="44"/>
        <v>0.053698074974670718</v>
      </c>
      <c r="AE19" s="155">
        <f t="shared" si="44"/>
        <v>0.056580102872914262</v>
      </c>
      <c r="AF19" s="976">
        <f t="shared" si="44"/>
        <v>0.048261381350809707</v>
      </c>
      <c r="AG19" s="155">
        <f t="shared" si="44"/>
        <v>0.060855468262875689</v>
      </c>
      <c r="AH19" s="155">
        <f t="shared" si="44"/>
        <v>0.060080595921357949</v>
      </c>
      <c r="AI19" s="155">
        <f t="shared" si="44"/>
        <v>0.055528846153846123</v>
      </c>
      <c r="AJ19" s="155">
        <f t="shared" si="44"/>
        <v>0.053550225599620083</v>
      </c>
      <c r="AK19" s="976">
        <f t="shared" si="44"/>
        <v>0.057450682852807189</v>
      </c>
      <c r="AL19" s="155">
        <f t="shared" si="44"/>
        <v>0.043963794522158262</v>
      </c>
      <c r="AM19" s="155">
        <f>AM65/AH65-1</f>
        <v>0.020965326575279386</v>
      </c>
      <c r="AN19" s="155">
        <f>AN65/AI65-1</f>
        <v>0.019357777271692189</v>
      </c>
      <c r="AO19" s="155">
        <f t="shared" si="44"/>
        <v>0.0012397159923362988</v>
      </c>
      <c r="AP19" s="976">
        <f t="shared" si="44"/>
        <v>0.021152024796946334</v>
      </c>
      <c r="AQ19" s="155">
        <f t="shared" si="45" ref="AQ19:AV19">AQ65/AL65-1</f>
        <v>0.11428893142664109</v>
      </c>
      <c r="AR19" s="155">
        <f t="shared" si="45"/>
        <v>0.12930159088344806</v>
      </c>
      <c r="AS19" s="155">
        <f t="shared" si="45"/>
        <v>0.13483020554066139</v>
      </c>
      <c r="AT19" s="155">
        <f t="shared" si="45"/>
        <v>0.16951823502926611</v>
      </c>
      <c r="AU19" s="976">
        <f t="shared" si="45"/>
        <v>0.13698707138842048</v>
      </c>
      <c r="AV19" s="155">
        <f t="shared" si="45"/>
        <v>0.060832659660468913</v>
      </c>
      <c r="AW19" s="155">
        <f t="shared" si="46" ref="AW19:BJ19">AW65/AR65-1</f>
        <v>0.086422220001998173</v>
      </c>
      <c r="AX19" s="155">
        <f t="shared" si="46"/>
        <v>0.098238015552711833</v>
      </c>
      <c r="AY19" s="155">
        <f t="shared" si="46"/>
        <v>0.095283926852743006</v>
      </c>
      <c r="AZ19" s="976">
        <f t="shared" si="46"/>
        <v>0.085405645918821271</v>
      </c>
      <c r="BA19" s="155">
        <f t="shared" si="47" ref="BA19:BI19">BA65/AV65-1</f>
        <v>0.1083063440655363</v>
      </c>
      <c r="BB19" s="155">
        <f t="shared" si="47"/>
        <v>0.096284715835939005</v>
      </c>
      <c r="BC19" s="155">
        <f t="shared" si="47"/>
        <v>0.099757999462221081</v>
      </c>
      <c r="BD19" s="155">
        <f t="shared" si="47"/>
        <v>0.10729349736379623</v>
      </c>
      <c r="BE19" s="976">
        <f t="shared" si="47"/>
        <v>0.10289462297023388</v>
      </c>
      <c r="BF19" s="155">
        <f>BF65/BA65-1</f>
        <v>0.10872367855608078</v>
      </c>
      <c r="BG19" s="155">
        <f>BG65/BB65-1</f>
        <v>0.1189497525375387</v>
      </c>
      <c r="BH19" s="735">
        <f>BH65/BC65-1</f>
        <v>0.11605541972290134</v>
      </c>
      <c r="BI19" s="156">
        <f t="shared" si="47"/>
        <v>0.070237520831679889</v>
      </c>
      <c r="BJ19" s="975">
        <f t="shared" si="46"/>
        <v>0.10308429182067869</v>
      </c>
      <c r="BK19" s="156">
        <f>BK65/BF65-1</f>
        <v>0.093822635658914688</v>
      </c>
      <c r="BL19" s="156">
        <f>BL65/BG65-1</f>
        <v>0.14050048729290077</v>
      </c>
      <c r="BM19" s="156">
        <f>BM65/BH65-1</f>
        <v>0.14278494231050098</v>
      </c>
      <c r="BN19" s="156">
        <f>BN65/BI65-1</f>
        <v>0.081985812316018425</v>
      </c>
      <c r="BO19" s="975">
        <f>BO65/BJ65-1</f>
        <v>0.11504153170938247</v>
      </c>
      <c r="BP19" s="975">
        <f>BP65/BO65-1</f>
        <v>0.0071108027800068641</v>
      </c>
      <c r="BQ19" s="975">
        <f>BQ65/BP65-1</f>
        <v>0.0266557460022665</v>
      </c>
      <c r="BR19" s="975">
        <f>BR65/BQ65-1</f>
        <v>0.029761313460326955</v>
      </c>
      <c r="BS19" s="158"/>
    </row>
    <row r="20" spans="1:71" s="25" customFormat="1" ht="15">
      <c r="A20" s="392" t="s">
        <v>629</v>
      </c>
      <c r="B20" s="477"/>
      <c r="C20" s="977"/>
      <c r="D20" s="979">
        <f>D124/C124-1</f>
        <v>-0.50351758793969847</v>
      </c>
      <c r="E20" s="979">
        <f>E124/D124-1</f>
        <v>-2.785425101214575</v>
      </c>
      <c r="F20" s="979">
        <f>F124/E124-1</f>
        <v>-2.3605442176870746</v>
      </c>
      <c r="G20" s="979">
        <f>G124/F124-1</f>
        <v>0.84833333333333338</v>
      </c>
      <c r="H20" s="140"/>
      <c r="I20" s="140"/>
      <c r="J20" s="140"/>
      <c r="K20" s="140"/>
      <c r="L20" s="979">
        <f t="shared" si="48" ref="L20:AP20">L124/G124-1</f>
        <v>-0.20108205590622186</v>
      </c>
      <c r="M20" s="44">
        <f t="shared" si="48"/>
        <v>0.2553763440860215</v>
      </c>
      <c r="N20" s="44">
        <f t="shared" si="48"/>
        <v>-1.052910052910053</v>
      </c>
      <c r="O20" s="44">
        <f t="shared" si="48"/>
        <v>0.035864978902953482</v>
      </c>
      <c r="P20" s="44">
        <f t="shared" si="48"/>
        <v>-0.17096336499321574</v>
      </c>
      <c r="Q20" s="979">
        <f t="shared" si="48"/>
        <v>-0.1202031602708804</v>
      </c>
      <c r="R20" s="44">
        <f t="shared" si="48"/>
        <v>-0.73233404710920769</v>
      </c>
      <c r="S20" s="44">
        <f t="shared" si="48"/>
        <v>5.60</v>
      </c>
      <c r="T20" s="44">
        <f t="shared" si="48"/>
        <v>-0.27698574338085535</v>
      </c>
      <c r="U20" s="44">
        <f t="shared" si="48"/>
        <v>0.31914893617021267</v>
      </c>
      <c r="V20" s="979">
        <f t="shared" si="48"/>
        <v>-0.21744708146247593</v>
      </c>
      <c r="W20" s="44">
        <f t="shared" si="48"/>
        <v>3.3840000000000003</v>
      </c>
      <c r="X20" s="44">
        <f t="shared" si="48"/>
        <v>-5.0151515151515156</v>
      </c>
      <c r="Y20" s="44">
        <f t="shared" si="48"/>
        <v>0.36338028169014081</v>
      </c>
      <c r="Z20" s="44">
        <f t="shared" si="48"/>
        <v>-0.11290322580645162</v>
      </c>
      <c r="AA20" s="979">
        <f t="shared" si="48"/>
        <v>0.64918032786885238</v>
      </c>
      <c r="AB20" s="44">
        <f t="shared" si="48"/>
        <v>0.83394160583941601</v>
      </c>
      <c r="AC20" s="44">
        <f t="shared" si="48"/>
        <v>0.71698113207547176</v>
      </c>
      <c r="AD20" s="44">
        <f t="shared" si="48"/>
        <v>0.047520661157024691</v>
      </c>
      <c r="AE20" s="44">
        <f t="shared" si="48"/>
        <v>-0.60</v>
      </c>
      <c r="AF20" s="979">
        <f t="shared" si="48"/>
        <v>0.11978131212723664</v>
      </c>
      <c r="AG20" s="44">
        <f t="shared" si="48"/>
        <v>-0.30348258706467657</v>
      </c>
      <c r="AH20" s="44">
        <f t="shared" si="48"/>
        <v>-0.19340659340659339</v>
      </c>
      <c r="AI20" s="44">
        <f t="shared" si="48"/>
        <v>0.45364891518737682</v>
      </c>
      <c r="AJ20" s="44">
        <f t="shared" si="48"/>
        <v>2.4965034965034967</v>
      </c>
      <c r="AK20" s="979">
        <f t="shared" si="48"/>
        <v>0.24456280514869055</v>
      </c>
      <c r="AL20" s="44">
        <f>AL124/AG124-1</f>
        <v>0.92571428571428571</v>
      </c>
      <c r="AM20" s="44">
        <f>AM124/AH124-1</f>
        <v>1.457765667574932</v>
      </c>
      <c r="AN20" s="44">
        <f>AN124/AI124-1</f>
        <v>0.020352781546811416</v>
      </c>
      <c r="AO20" s="44">
        <f t="shared" si="48"/>
        <v>0.42300000000000004</v>
      </c>
      <c r="AP20" s="979">
        <f t="shared" si="48"/>
        <v>0.57810271041369465</v>
      </c>
      <c r="AQ20" s="44">
        <f t="shared" si="49" ref="AQ20:AV20">AQ124/AL124-1</f>
        <v>0.22922848664688433</v>
      </c>
      <c r="AR20" s="44">
        <f t="shared" si="49"/>
        <v>-0.52439024390243905</v>
      </c>
      <c r="AS20" s="44">
        <f t="shared" si="49"/>
        <v>-1.7101063829787235</v>
      </c>
      <c r="AT20" s="44">
        <f t="shared" si="49"/>
        <v>-0.92059030217849613</v>
      </c>
      <c r="AU20" s="979">
        <f t="shared" si="49"/>
        <v>-0.62372881355932197</v>
      </c>
      <c r="AV20" s="44">
        <f t="shared" si="49"/>
        <v>-0.8310199155099578</v>
      </c>
      <c r="AW20" s="44">
        <f t="shared" si="50" ref="AW20:BJ20">AW124/AR124-1</f>
        <v>-3.0139860139860142</v>
      </c>
      <c r="AX20" s="44">
        <f t="shared" si="50"/>
        <v>1.4194756554307117</v>
      </c>
      <c r="AY20" s="44">
        <f>AY124/AT124-1</f>
        <v>-10.159292035398231</v>
      </c>
      <c r="AZ20" s="979">
        <f t="shared" si="50"/>
        <v>-2.7483483483483484</v>
      </c>
      <c r="BA20" s="44">
        <f t="shared" si="51" ref="BA20:BI20">BA124/AV124-1</f>
        <v>-4.575</v>
      </c>
      <c r="BB20" s="44">
        <f t="shared" si="51"/>
        <v>1.4236111111111112</v>
      </c>
      <c r="BC20" s="44">
        <f t="shared" si="51"/>
        <v>-0.67956656346749233</v>
      </c>
      <c r="BD20" s="44">
        <f t="shared" si="51"/>
        <v>-2.2801932367149758</v>
      </c>
      <c r="BE20" s="979">
        <f t="shared" si="51"/>
        <v>-0.24974235657849542</v>
      </c>
      <c r="BF20" s="44">
        <f>BF124/BA124-1</f>
        <v>-1.8971028971028971</v>
      </c>
      <c r="BG20" s="44">
        <f>BG124/BB124-1</f>
        <v>-0.9307545367717287</v>
      </c>
      <c r="BH20" s="738">
        <f>BH124/BC124-1</f>
        <v>-2.1956521739130435</v>
      </c>
      <c r="BI20" s="140">
        <f t="shared" si="51"/>
        <v>-0.20152792830188671</v>
      </c>
      <c r="BJ20" s="977">
        <f t="shared" si="50"/>
        <v>-2.0558495856227106</v>
      </c>
      <c r="BK20" s="140">
        <f>BK124/BF124-1</f>
        <v>0.25799775946547943</v>
      </c>
      <c r="BL20" s="140">
        <f>BL124/BG124-1</f>
        <v>-3.43240400689655</v>
      </c>
      <c r="BM20" s="140">
        <f>BM124/BH124-1</f>
        <v>0.54230359797979966</v>
      </c>
      <c r="BN20" s="140">
        <f>BN124/BI124-1</f>
        <v>0.28756236452338468</v>
      </c>
      <c r="BO20" s="977">
        <f>BO124/BJ124-1</f>
        <v>0.56464380812945247</v>
      </c>
      <c r="BP20" s="977">
        <f>BP124/BO124-1</f>
        <v>0.23439309218192728</v>
      </c>
      <c r="BQ20" s="977">
        <f>BQ124/BP124-1</f>
        <v>0.024770875762154532</v>
      </c>
      <c r="BR20" s="977">
        <f>BR124/BQ124-1</f>
        <v>0.029174417528424978</v>
      </c>
      <c r="BS20" s="158"/>
    </row>
    <row r="21" spans="1:71" s="25" customFormat="1" ht="15">
      <c r="A21" s="479"/>
      <c r="B21" s="477"/>
      <c r="C21" s="977"/>
      <c r="D21" s="977"/>
      <c r="E21" s="977"/>
      <c r="F21" s="977"/>
      <c r="G21" s="977"/>
      <c r="H21" s="140"/>
      <c r="I21" s="140"/>
      <c r="J21" s="140"/>
      <c r="K21" s="140"/>
      <c r="L21" s="977"/>
      <c r="M21" s="140"/>
      <c r="N21" s="140"/>
      <c r="O21" s="140"/>
      <c r="P21" s="140"/>
      <c r="Q21" s="977"/>
      <c r="R21" s="140"/>
      <c r="S21" s="140"/>
      <c r="T21" s="140"/>
      <c r="U21" s="140"/>
      <c r="V21" s="977"/>
      <c r="W21" s="140"/>
      <c r="X21" s="140"/>
      <c r="Y21" s="140"/>
      <c r="Z21" s="140"/>
      <c r="AA21" s="977"/>
      <c r="AB21" s="140"/>
      <c r="AC21" s="140"/>
      <c r="AD21" s="140"/>
      <c r="AE21" s="140"/>
      <c r="AF21" s="977"/>
      <c r="AG21" s="140"/>
      <c r="AH21" s="140"/>
      <c r="AI21" s="140"/>
      <c r="AJ21" s="140"/>
      <c r="AK21" s="977"/>
      <c r="AL21" s="140"/>
      <c r="AM21" s="140"/>
      <c r="AN21" s="140"/>
      <c r="AO21" s="140"/>
      <c r="AP21" s="977"/>
      <c r="AQ21" s="140"/>
      <c r="AR21" s="140"/>
      <c r="AS21" s="140"/>
      <c r="AT21" s="140"/>
      <c r="AU21" s="977"/>
      <c r="AV21" s="140"/>
      <c r="AW21" s="140"/>
      <c r="AX21" s="140"/>
      <c r="AY21" s="140"/>
      <c r="AZ21" s="977"/>
      <c r="BA21" s="140"/>
      <c r="BB21" s="140"/>
      <c r="BC21" s="140"/>
      <c r="BD21" s="140"/>
      <c r="BE21" s="977"/>
      <c r="BF21" s="140"/>
      <c r="BG21" s="140"/>
      <c r="BH21" s="736"/>
      <c r="BI21" s="140"/>
      <c r="BJ21" s="977"/>
      <c r="BK21" s="140"/>
      <c r="BL21" s="140"/>
      <c r="BM21" s="140"/>
      <c r="BN21" s="140"/>
      <c r="BO21" s="977"/>
      <c r="BP21" s="977"/>
      <c r="BQ21" s="977"/>
      <c r="BR21" s="977"/>
      <c r="BS21" s="158"/>
    </row>
    <row r="22" spans="1:71" s="24" customFormat="1" ht="15">
      <c r="A22" s="304" t="s">
        <v>633</v>
      </c>
      <c r="B22" s="475"/>
      <c r="C22" s="970"/>
      <c r="D22" s="970"/>
      <c r="E22" s="970"/>
      <c r="F22" s="970"/>
      <c r="G22" s="970"/>
      <c r="H22" s="245"/>
      <c r="I22" s="245"/>
      <c r="J22" s="245"/>
      <c r="K22" s="245"/>
      <c r="L22" s="970"/>
      <c r="M22" s="245"/>
      <c r="N22" s="245"/>
      <c r="O22" s="245"/>
      <c r="P22" s="245"/>
      <c r="Q22" s="970"/>
      <c r="R22" s="245"/>
      <c r="S22" s="245"/>
      <c r="T22" s="245"/>
      <c r="U22" s="245"/>
      <c r="V22" s="970"/>
      <c r="W22" s="245"/>
      <c r="X22" s="245"/>
      <c r="Y22" s="245"/>
      <c r="Z22" s="245"/>
      <c r="AA22" s="970"/>
      <c r="AB22" s="381">
        <f t="shared" si="52" ref="AB22">AB30/W30-1</f>
        <v>0.035948506193830498</v>
      </c>
      <c r="AC22" s="381">
        <f t="shared" si="53" ref="AC22">AC30/X30-1</f>
        <v>0.041910447761194014</v>
      </c>
      <c r="AD22" s="381">
        <f t="shared" si="54" ref="AD22">AD30/Y30-1</f>
        <v>0.05598295656290686</v>
      </c>
      <c r="AE22" s="381">
        <f t="shared" si="55" ref="AE22">AE30/Z30-1</f>
        <v>0.048854604955586689</v>
      </c>
      <c r="AF22" s="974">
        <f t="shared" si="56" ref="AF22">AF30/AA30-1</f>
        <v>0.045754745046706624</v>
      </c>
      <c r="AG22" s="381">
        <f t="shared" si="57" ref="AG22">AG30/AB30-1</f>
        <v>0.052051582649472516</v>
      </c>
      <c r="AH22" s="381">
        <f t="shared" si="58" ref="AH22">AH30/AC30-1</f>
        <v>0.0705936282374513</v>
      </c>
      <c r="AI22" s="381">
        <f t="shared" si="59" ref="AI22">AI30/AD30-1</f>
        <v>0.056377493835462866</v>
      </c>
      <c r="AJ22" s="381">
        <f t="shared" si="60" ref="AJ22">AJ30/AE30-1</f>
        <v>0.044796077557387903</v>
      </c>
      <c r="AK22" s="974">
        <f t="shared" si="61" ref="AK22">AK30/AF30-1</f>
        <v>0.055900091033227017</v>
      </c>
      <c r="AL22" s="381">
        <f t="shared" si="62" ref="AL22:AP26">AL30/AG30-1</f>
        <v>0.035881435257410388</v>
      </c>
      <c r="AM22" s="381">
        <f t="shared" si="62"/>
        <v>-0.010169128666238536</v>
      </c>
      <c r="AN22" s="381">
        <f t="shared" si="62"/>
        <v>0.017931034482758568</v>
      </c>
      <c r="AO22" s="381">
        <f t="shared" si="62"/>
        <v>0.036796075085324231</v>
      </c>
      <c r="AP22" s="974">
        <f t="shared" si="62"/>
        <v>0.016703936201740488</v>
      </c>
      <c r="AQ22" s="381">
        <f t="shared" si="63" ref="AQ22:AS23">AQ30/AL30-1</f>
        <v>0.221815834767642</v>
      </c>
      <c r="AR22" s="381">
        <f t="shared" si="63"/>
        <v>0.24645831080350389</v>
      </c>
      <c r="AS22" s="381">
        <f t="shared" si="63"/>
        <v>0.18073796122576602</v>
      </c>
      <c r="AT22" s="381">
        <f t="shared" si="64" ref="AT22:AU25">AT30/AO30-1</f>
        <v>0.21571854747453956</v>
      </c>
      <c r="AU22" s="974">
        <f t="shared" si="64"/>
        <v>0.2197577973871796</v>
      </c>
      <c r="AV22" s="381">
        <f t="shared" si="65" ref="AV22:AX23">AV30/AQ30-1</f>
        <v>-0.013910899806303889</v>
      </c>
      <c r="AW22" s="381">
        <f t="shared" si="65"/>
        <v>-0.039302446642373812</v>
      </c>
      <c r="AX22" s="381">
        <f t="shared" si="65"/>
        <v>0.061970338983050821</v>
      </c>
      <c r="AY22" s="245">
        <f t="shared" si="66" ref="AY22:AY23">AY30/AT30-1</f>
        <v>0.04374682687425957</v>
      </c>
      <c r="AZ22" s="970">
        <f t="shared" si="67" ref="AZ22:AZ23">AZ30/AU30-1</f>
        <v>0.013208776884640505</v>
      </c>
      <c r="BA22" s="381">
        <f t="shared" si="68" ref="BA22:BB23">BA30/AV30-1</f>
        <v>0.11687500000000006</v>
      </c>
      <c r="BB22" s="381">
        <f t="shared" si="68"/>
        <v>0.14864986905084443</v>
      </c>
      <c r="BC22" s="381">
        <f t="shared" si="69" ref="BC22:BI23">BC30/AX30-1</f>
        <v>0.099584372402327537</v>
      </c>
      <c r="BD22" s="245">
        <f t="shared" si="69"/>
        <v>0.089744629104175022</v>
      </c>
      <c r="BE22" s="970">
        <f t="shared" si="69"/>
        <v>0.1127835670483297</v>
      </c>
      <c r="BF22" s="381">
        <f t="shared" si="70" ref="BF22:BH23">BF30/BA30-1</f>
        <v>0.10880166280278192</v>
      </c>
      <c r="BG22" s="381">
        <f t="shared" si="70"/>
        <v>0.12587467568205057</v>
      </c>
      <c r="BH22" s="734">
        <f t="shared" si="70"/>
        <v>0.14567583912911997</v>
      </c>
      <c r="BI22" s="245">
        <f t="shared" si="69"/>
        <v>0.05155862369231734</v>
      </c>
      <c r="BJ22" s="970">
        <f t="shared" si="71" ref="BJ22">BJ30/BE30-1</f>
        <v>0.10755811437188578</v>
      </c>
      <c r="BK22" s="245">
        <f t="shared" si="72" ref="BK22:BO22">BK30/BF30-1</f>
        <v>0.061043425092097925</v>
      </c>
      <c r="BL22" s="245">
        <f t="shared" si="72"/>
        <v>0.10625640753042043</v>
      </c>
      <c r="BM22" s="245">
        <f t="shared" si="72"/>
        <v>0.075962241647270501</v>
      </c>
      <c r="BN22" s="245">
        <f t="shared" si="72"/>
        <v>0.076869243684191124</v>
      </c>
      <c r="BO22" s="970">
        <f t="shared" si="72"/>
        <v>0.080132540483839776</v>
      </c>
      <c r="BP22" s="970">
        <f t="shared" si="73" ref="BP22:BR22">BP30/BO30-1</f>
        <v>0.0031813196421484058</v>
      </c>
      <c r="BQ22" s="970">
        <f t="shared" si="73"/>
        <v>0.02600975990041432</v>
      </c>
      <c r="BR22" s="970">
        <f t="shared" si="73"/>
        <v>0.029013663948153967</v>
      </c>
      <c r="BS22" s="47"/>
    </row>
    <row r="23" spans="1:71" s="24" customFormat="1" ht="15">
      <c r="A23" s="304" t="s">
        <v>672</v>
      </c>
      <c r="B23" s="475"/>
      <c r="C23" s="970"/>
      <c r="D23" s="970"/>
      <c r="E23" s="970"/>
      <c r="F23" s="970"/>
      <c r="G23" s="970"/>
      <c r="H23" s="245"/>
      <c r="I23" s="245"/>
      <c r="J23" s="245"/>
      <c r="K23" s="245"/>
      <c r="L23" s="970"/>
      <c r="M23" s="245"/>
      <c r="N23" s="245"/>
      <c r="O23" s="245"/>
      <c r="P23" s="245"/>
      <c r="Q23" s="970"/>
      <c r="R23" s="245"/>
      <c r="S23" s="245"/>
      <c r="T23" s="245"/>
      <c r="U23" s="245"/>
      <c r="V23" s="970"/>
      <c r="W23" s="245"/>
      <c r="X23" s="245"/>
      <c r="Y23" s="245"/>
      <c r="Z23" s="245"/>
      <c r="AA23" s="970"/>
      <c r="AB23" s="381">
        <f t="shared" si="74" ref="AB23:AK26">AB31/W31-1</f>
        <v>0.2672064777327936</v>
      </c>
      <c r="AC23" s="381">
        <f t="shared" si="74"/>
        <v>0.23076923076923084</v>
      </c>
      <c r="AD23" s="381">
        <f t="shared" si="74"/>
        <v>0.20955882352941169</v>
      </c>
      <c r="AE23" s="381">
        <f t="shared" si="74"/>
        <v>0.27142857142857135</v>
      </c>
      <c r="AF23" s="974">
        <f t="shared" si="74"/>
        <v>0.24457034938621347</v>
      </c>
      <c r="AG23" s="381">
        <f t="shared" si="74"/>
        <v>0.25239616613418536</v>
      </c>
      <c r="AH23" s="381">
        <f t="shared" si="74"/>
        <v>0.265625</v>
      </c>
      <c r="AI23" s="381">
        <f t="shared" si="74"/>
        <v>0.27051671732522786</v>
      </c>
      <c r="AJ23" s="381">
        <f t="shared" si="74"/>
        <v>0.2191011235955056</v>
      </c>
      <c r="AK23" s="974">
        <f t="shared" si="74"/>
        <v>0.25113808801213966</v>
      </c>
      <c r="AL23" s="381">
        <f t="shared" si="62"/>
        <v>0.096938775510204023</v>
      </c>
      <c r="AM23" s="381">
        <f t="shared" si="62"/>
        <v>0.17530864197530871</v>
      </c>
      <c r="AN23" s="381">
        <f t="shared" si="62"/>
        <v>0.19138755980861255</v>
      </c>
      <c r="AO23" s="381">
        <f t="shared" si="62"/>
        <v>0.19354838709677424</v>
      </c>
      <c r="AP23" s="974">
        <f t="shared" si="62"/>
        <v>0.16555488174651312</v>
      </c>
      <c r="AQ23" s="381">
        <f t="shared" si="63"/>
        <v>0.30697674418604648</v>
      </c>
      <c r="AR23" s="381">
        <f t="shared" si="63"/>
        <v>0.23319327731092443</v>
      </c>
      <c r="AS23" s="381">
        <f t="shared" si="63"/>
        <v>0.2068273092369477</v>
      </c>
      <c r="AT23" s="381">
        <f t="shared" si="64"/>
        <v>0.17953667953667951</v>
      </c>
      <c r="AU23" s="974">
        <f t="shared" si="64"/>
        <v>0.22840790842872005</v>
      </c>
      <c r="AV23" s="381">
        <f t="shared" si="65"/>
        <v>0.092526690391458999</v>
      </c>
      <c r="AW23" s="381">
        <f t="shared" si="65"/>
        <v>0.020442930153321992</v>
      </c>
      <c r="AX23" s="381">
        <f t="shared" si="65"/>
        <v>0.043261231281197965</v>
      </c>
      <c r="AY23" s="245">
        <f t="shared" si="66"/>
        <v>0.05891980360065463</v>
      </c>
      <c r="AZ23" s="970">
        <f t="shared" si="67"/>
        <v>0.053367217280813284</v>
      </c>
      <c r="BA23" s="381">
        <f t="shared" si="68"/>
        <v>0.091205211726384405</v>
      </c>
      <c r="BB23" s="381">
        <f t="shared" si="68"/>
        <v>0.13856427378964931</v>
      </c>
      <c r="BC23" s="381">
        <f t="shared" si="69"/>
        <v>0.098883572567783018</v>
      </c>
      <c r="BD23" s="245">
        <f t="shared" si="69"/>
        <v>0.13137557959814528</v>
      </c>
      <c r="BE23" s="970">
        <f t="shared" si="75" ref="BE23:BO23">BE31/AZ31-1</f>
        <v>0.11499798954563722</v>
      </c>
      <c r="BF23" s="381">
        <f t="shared" si="70"/>
        <v>0.11641791044776117</v>
      </c>
      <c r="BG23" s="381">
        <f t="shared" si="70"/>
        <v>0.13196480938416433</v>
      </c>
      <c r="BH23" s="734">
        <f t="shared" si="70"/>
        <v>0.20754716981132071</v>
      </c>
      <c r="BI23" s="245">
        <f>IFERROR(BI31/BD31-1,"N/A")</f>
        <v>0.077191850309056509</v>
      </c>
      <c r="BJ23" s="970">
        <f>IFERROR(BJ31/BE31-1,"N/A")</f>
        <v>0.13252954721465193</v>
      </c>
      <c r="BK23" s="245">
        <f t="shared" si="75"/>
        <v>-0.092898489121675976</v>
      </c>
      <c r="BL23" s="245">
        <f t="shared" si="75"/>
        <v>-0.04358682243239409</v>
      </c>
      <c r="BM23" s="245">
        <f t="shared" si="75"/>
        <v>-0.081089188619599573</v>
      </c>
      <c r="BN23" s="245">
        <f t="shared" si="75"/>
        <v>0.053161077230867715</v>
      </c>
      <c r="BO23" s="970">
        <f t="shared" si="75"/>
        <v>-0.040976078608984889</v>
      </c>
      <c r="BP23" s="970">
        <f t="shared" si="76" ref="BP23:BR23">BP31/BO31-1</f>
        <v>0.053042052337742618</v>
      </c>
      <c r="BQ23" s="970">
        <f t="shared" si="76"/>
        <v>0.051992685142480344</v>
      </c>
      <c r="BR23" s="970">
        <f t="shared" si="76"/>
        <v>0.052157470787705051</v>
      </c>
      <c r="BS23" s="47"/>
    </row>
    <row r="24" spans="1:71" s="24" customFormat="1" ht="15" hidden="1" outlineLevel="1">
      <c r="A24" s="304" t="s">
        <v>630</v>
      </c>
      <c r="B24" s="475"/>
      <c r="C24" s="970"/>
      <c r="D24" s="970"/>
      <c r="E24" s="970"/>
      <c r="F24" s="970"/>
      <c r="G24" s="970"/>
      <c r="H24" s="245"/>
      <c r="I24" s="245"/>
      <c r="J24" s="245"/>
      <c r="K24" s="245"/>
      <c r="L24" s="970"/>
      <c r="M24" s="245"/>
      <c r="N24" s="245"/>
      <c r="O24" s="245"/>
      <c r="P24" s="245"/>
      <c r="Q24" s="970"/>
      <c r="R24" s="245"/>
      <c r="S24" s="245"/>
      <c r="T24" s="245"/>
      <c r="U24" s="245"/>
      <c r="V24" s="970"/>
      <c r="W24" s="245"/>
      <c r="X24" s="245"/>
      <c r="Y24" s="245"/>
      <c r="Z24" s="245"/>
      <c r="AA24" s="970"/>
      <c r="AB24" s="381">
        <f t="shared" si="74"/>
        <v>0.0063965884861407751</v>
      </c>
      <c r="AC24" s="381">
        <f t="shared" si="74"/>
        <v>0.021231422505307851</v>
      </c>
      <c r="AD24" s="381">
        <f t="shared" si="74"/>
        <v>0.030237580993520474</v>
      </c>
      <c r="AE24" s="381">
        <f t="shared" si="74"/>
        <v>0.020618556701030855</v>
      </c>
      <c r="AF24" s="974">
        <f t="shared" si="74"/>
        <v>0.019597457627118731</v>
      </c>
      <c r="AG24" s="381">
        <f t="shared" si="74"/>
        <v>0.029661016949152463</v>
      </c>
      <c r="AH24" s="381">
        <f t="shared" si="74"/>
        <v>0.022869022869022926</v>
      </c>
      <c r="AI24" s="381">
        <f t="shared" si="74"/>
        <v>0.037735849056603765</v>
      </c>
      <c r="AJ24" s="381">
        <f t="shared" si="74"/>
        <v>0.030303030303030276</v>
      </c>
      <c r="AK24" s="974">
        <f t="shared" si="74"/>
        <v>0.030129870129870229</v>
      </c>
      <c r="AL24" s="381">
        <f t="shared" si="77" ref="AL24:AL26">AL32/AG32-1</f>
        <v>-0.049382716049382713</v>
      </c>
      <c r="AM24" s="381">
        <f t="shared" si="78" ref="AM24:AN26">AM32/AH32-1</f>
        <v>0.026422764227642226</v>
      </c>
      <c r="AN24" s="381">
        <f t="shared" si="78"/>
        <v>-0.010101010101010055</v>
      </c>
      <c r="AO24" s="381">
        <f t="shared" si="62"/>
        <v>-0.027450980392156876</v>
      </c>
      <c r="AP24" s="974">
        <f t="shared" si="62"/>
        <v>-0.015128593040847238</v>
      </c>
      <c r="AQ24" s="245"/>
      <c r="AR24" s="245"/>
      <c r="AS24" s="245"/>
      <c r="AT24" s="245"/>
      <c r="AU24" s="970"/>
      <c r="AV24" s="245"/>
      <c r="AW24" s="245"/>
      <c r="AX24" s="245"/>
      <c r="AY24" s="245"/>
      <c r="AZ24" s="970"/>
      <c r="BA24" s="245"/>
      <c r="BB24" s="245"/>
      <c r="BC24" s="245"/>
      <c r="BD24" s="245"/>
      <c r="BE24" s="970"/>
      <c r="BF24" s="245"/>
      <c r="BG24" s="245"/>
      <c r="BH24" s="732"/>
      <c r="BI24" s="245"/>
      <c r="BJ24" s="970"/>
      <c r="BK24" s="245"/>
      <c r="BL24" s="245"/>
      <c r="BM24" s="245"/>
      <c r="BN24" s="245"/>
      <c r="BO24" s="970"/>
      <c r="BP24" s="970"/>
      <c r="BQ24" s="970"/>
      <c r="BR24" s="970"/>
      <c r="BS24" s="47"/>
    </row>
    <row r="25" spans="1:71" s="24" customFormat="1" ht="15" collapsed="1">
      <c r="A25" s="304" t="s">
        <v>718</v>
      </c>
      <c r="B25" s="475"/>
      <c r="C25" s="970"/>
      <c r="D25" s="970"/>
      <c r="E25" s="970"/>
      <c r="F25" s="970"/>
      <c r="G25" s="970"/>
      <c r="H25" s="245"/>
      <c r="I25" s="245"/>
      <c r="J25" s="245"/>
      <c r="K25" s="245"/>
      <c r="L25" s="970"/>
      <c r="M25" s="245"/>
      <c r="N25" s="245"/>
      <c r="O25" s="245"/>
      <c r="P25" s="245"/>
      <c r="Q25" s="970"/>
      <c r="R25" s="245"/>
      <c r="S25" s="245"/>
      <c r="T25" s="245"/>
      <c r="U25" s="245"/>
      <c r="V25" s="970"/>
      <c r="W25" s="245"/>
      <c r="X25" s="245"/>
      <c r="Y25" s="245"/>
      <c r="Z25" s="245"/>
      <c r="AA25" s="970"/>
      <c r="AB25" s="381">
        <f t="shared" si="74"/>
        <v>0.059440559440559371</v>
      </c>
      <c r="AC25" s="381">
        <f t="shared" si="74"/>
        <v>0.04861111111111116</v>
      </c>
      <c r="AD25" s="381">
        <f t="shared" si="74"/>
        <v>0.047945205479452024</v>
      </c>
      <c r="AE25" s="381">
        <f t="shared" si="74"/>
        <v>0.0034364261168384758</v>
      </c>
      <c r="AF25" s="974">
        <f t="shared" si="74"/>
        <v>0.039757994814174635</v>
      </c>
      <c r="AG25" s="381">
        <f t="shared" si="74"/>
        <v>0.0264026402640265</v>
      </c>
      <c r="AH25" s="381">
        <f t="shared" si="74"/>
        <v>0.01655629139072845</v>
      </c>
      <c r="AI25" s="381">
        <f t="shared" si="74"/>
        <v>0.02614379084967311</v>
      </c>
      <c r="AJ25" s="381">
        <f t="shared" si="74"/>
        <v>0.054794520547945202</v>
      </c>
      <c r="AK25" s="974">
        <f t="shared" si="74"/>
        <v>0.030756442227763969</v>
      </c>
      <c r="AL25" s="381">
        <f t="shared" si="77"/>
        <v>-0.07395498392282962</v>
      </c>
      <c r="AM25" s="381">
        <f t="shared" si="78"/>
        <v>-0.042345276872964188</v>
      </c>
      <c r="AN25" s="381">
        <f t="shared" si="78"/>
        <v>-0.019108280254777066</v>
      </c>
      <c r="AO25" s="381">
        <f t="shared" si="62"/>
        <v>-0.058441558441558406</v>
      </c>
      <c r="AP25" s="974">
        <f t="shared" si="62"/>
        <v>-0.048387096774193505</v>
      </c>
      <c r="AQ25" s="381">
        <f>AQ33/AL33-1</f>
        <v>0.93055555555555558</v>
      </c>
      <c r="AR25" s="381">
        <f>AR33/AM33-1</f>
        <v>0.88095238095238093</v>
      </c>
      <c r="AS25" s="381">
        <f>AS33/AN33-1</f>
        <v>0.82467532467532467</v>
      </c>
      <c r="AT25" s="381">
        <f t="shared" si="64"/>
        <v>1.0344827586206895</v>
      </c>
      <c r="AU25" s="974">
        <f t="shared" si="64"/>
        <v>0.91610169491525428</v>
      </c>
      <c r="AV25" s="381">
        <f t="shared" si="79" ref="AV25:AX25">AV33/AQ33-1</f>
        <v>0.030575539568345356</v>
      </c>
      <c r="AW25" s="381">
        <f t="shared" si="79"/>
        <v>0.014466546112115841</v>
      </c>
      <c r="AX25" s="381">
        <f t="shared" si="79"/>
        <v>0.003558718861210064</v>
      </c>
      <c r="AY25" s="245">
        <f t="shared" si="80" ref="AY25">AY33/AT33-1</f>
        <v>-0.049152542372881358</v>
      </c>
      <c r="AZ25" s="970">
        <f t="shared" si="81" ref="AZ25">AZ33/AU33-1</f>
        <v>-0.00088456435205663819</v>
      </c>
      <c r="BA25" s="381">
        <f t="shared" si="82" ref="BA25:BE25">BA33/AV33-1</f>
        <v>0.020942408376963373</v>
      </c>
      <c r="BB25" s="381">
        <f t="shared" si="82"/>
        <v>0.02673796791443861</v>
      </c>
      <c r="BC25" s="381">
        <f t="shared" si="82"/>
        <v>0.037234042553191404</v>
      </c>
      <c r="BD25" s="245">
        <f t="shared" si="82"/>
        <v>0.12655971479500883</v>
      </c>
      <c r="BE25" s="970">
        <f t="shared" si="82"/>
        <v>0.052678176184152381</v>
      </c>
      <c r="BF25" s="381">
        <f>BF33/BA33-1</f>
        <v>0.088888888888888795</v>
      </c>
      <c r="BG25" s="381">
        <f>BG33/BB33-1</f>
        <v>0.07638888888888884</v>
      </c>
      <c r="BH25" s="734">
        <f>BH33/BC33-1</f>
        <v>0.076923076923076872</v>
      </c>
      <c r="BI25" s="245">
        <f>IFERROR(BI33/BD33-1,"N/A")</f>
        <v>-0.023950009856816834</v>
      </c>
      <c r="BJ25" s="970">
        <f>IFERROR(BJ33/BE33-1,"N/A")</f>
        <v>0.052928340525858486</v>
      </c>
      <c r="BK25" s="245">
        <f>BK33/BF33-1</f>
        <v>-0.063563754112814785</v>
      </c>
      <c r="BL25" s="245">
        <f>BL33/BG33-1</f>
        <v>-0.043645085019885177</v>
      </c>
      <c r="BM25" s="245">
        <f>BM33/BH33-1</f>
        <v>-0.051016909676016464</v>
      </c>
      <c r="BN25" s="245">
        <f>BN33/BI33-1</f>
        <v>-0.040939219346330047</v>
      </c>
      <c r="BO25" s="970">
        <f>BO33/BJ33-1</f>
        <v>-0.049900733994086011</v>
      </c>
      <c r="BP25" s="970">
        <f>BP33/BO33-1</f>
        <v>0.033158021733049159</v>
      </c>
      <c r="BQ25" s="970">
        <f>BQ33/BP33-1</f>
        <v>0.025618598149855787</v>
      </c>
      <c r="BR25" s="970">
        <f>BR33/BQ33-1</f>
        <v>0.025720672128461741</v>
      </c>
      <c r="BS25" s="47"/>
    </row>
    <row r="26" spans="1:71" s="24" customFormat="1" ht="15" hidden="1" outlineLevel="1">
      <c r="A26" s="304" t="s">
        <v>631</v>
      </c>
      <c r="B26" s="475"/>
      <c r="C26" s="970"/>
      <c r="D26" s="970"/>
      <c r="E26" s="970"/>
      <c r="F26" s="970"/>
      <c r="G26" s="970"/>
      <c r="H26" s="245"/>
      <c r="I26" s="245"/>
      <c r="J26" s="245"/>
      <c r="K26" s="245"/>
      <c r="L26" s="970"/>
      <c r="M26" s="245"/>
      <c r="N26" s="245"/>
      <c r="O26" s="245"/>
      <c r="P26" s="245"/>
      <c r="Q26" s="970"/>
      <c r="R26" s="245"/>
      <c r="S26" s="245"/>
      <c r="T26" s="245"/>
      <c r="U26" s="245"/>
      <c r="V26" s="970"/>
      <c r="W26" s="245"/>
      <c r="X26" s="245"/>
      <c r="Y26" s="245"/>
      <c r="Z26" s="245"/>
      <c r="AA26" s="970"/>
      <c r="AB26" s="381">
        <f t="shared" si="74"/>
        <v>-0.089655172413793061</v>
      </c>
      <c r="AC26" s="381">
        <f t="shared" si="74"/>
        <v>-0.14204545454545459</v>
      </c>
      <c r="AD26" s="381">
        <f t="shared" si="74"/>
        <v>-0.086705202312138741</v>
      </c>
      <c r="AE26" s="381">
        <f t="shared" si="74"/>
        <v>-0.83199999999999996</v>
      </c>
      <c r="AF26" s="974">
        <f t="shared" si="74"/>
        <v>-0.30667644900953783</v>
      </c>
      <c r="AG26" s="381">
        <f t="shared" si="74"/>
        <v>0.32196969696969702</v>
      </c>
      <c r="AH26" s="381">
        <f t="shared" si="74"/>
        <v>0.15231788079470188</v>
      </c>
      <c r="AI26" s="381">
        <f t="shared" si="74"/>
        <v>-0.13291139240506333</v>
      </c>
      <c r="AJ26" s="381">
        <f t="shared" si="74"/>
        <v>3.8412698412698409</v>
      </c>
      <c r="AK26" s="974">
        <f t="shared" si="74"/>
        <v>0.35026455026455028</v>
      </c>
      <c r="AL26" s="381">
        <f t="shared" si="77"/>
        <v>-1.6303724928366763</v>
      </c>
      <c r="AM26" s="381">
        <f t="shared" si="78"/>
        <v>-0.10057471264367812</v>
      </c>
      <c r="AN26" s="381">
        <f t="shared" si="78"/>
        <v>0.31386861313868608</v>
      </c>
      <c r="AO26" s="381">
        <f t="shared" si="62"/>
        <v>0.95737704918032795</v>
      </c>
      <c r="AP26" s="974">
        <f t="shared" si="62"/>
        <v>-0.17711598746081503</v>
      </c>
      <c r="AQ26" s="245"/>
      <c r="AR26" s="245"/>
      <c r="AS26" s="245"/>
      <c r="AT26" s="245"/>
      <c r="AU26" s="970"/>
      <c r="AV26" s="245"/>
      <c r="AW26" s="245"/>
      <c r="AX26" s="245"/>
      <c r="AY26" s="245"/>
      <c r="AZ26" s="970"/>
      <c r="BA26" s="245"/>
      <c r="BB26" s="245"/>
      <c r="BC26" s="245"/>
      <c r="BD26" s="245"/>
      <c r="BE26" s="970"/>
      <c r="BF26" s="245"/>
      <c r="BG26" s="245"/>
      <c r="BH26" s="732"/>
      <c r="BI26" s="245"/>
      <c r="BJ26" s="970"/>
      <c r="BK26" s="245"/>
      <c r="BL26" s="245"/>
      <c r="BM26" s="245"/>
      <c r="BN26" s="245"/>
      <c r="BO26" s="970"/>
      <c r="BP26" s="970"/>
      <c r="BQ26" s="970"/>
      <c r="BR26" s="970"/>
      <c r="BS26" s="47"/>
    </row>
    <row r="27" spans="1:71" s="25" customFormat="1" ht="15" collapsed="1">
      <c r="A27" s="87" t="s">
        <v>632</v>
      </c>
      <c r="B27" s="478"/>
      <c r="C27" s="975"/>
      <c r="D27" s="976">
        <f t="shared" si="83" ref="D27:F27">D676/C676-1</f>
        <v>-0.019148470933683215</v>
      </c>
      <c r="E27" s="976">
        <f t="shared" si="83"/>
        <v>0.039936305732483968</v>
      </c>
      <c r="F27" s="976">
        <f t="shared" si="83"/>
        <v>0.020242543026887994</v>
      </c>
      <c r="G27" s="976">
        <f>G676/F676-1</f>
        <v>0.035779678823352867</v>
      </c>
      <c r="H27" s="156"/>
      <c r="I27" s="156"/>
      <c r="J27" s="156"/>
      <c r="K27" s="156"/>
      <c r="L27" s="976">
        <f t="shared" si="84" ref="L27:AK27">L676/G676-1</f>
        <v>0.021213087199698721</v>
      </c>
      <c r="M27" s="155">
        <f t="shared" si="84"/>
        <v>0.030861354214647641</v>
      </c>
      <c r="N27" s="155">
        <f t="shared" si="84"/>
        <v>0.013769751693002208</v>
      </c>
      <c r="O27" s="155">
        <f t="shared" si="84"/>
        <v>0.010295434198746678</v>
      </c>
      <c r="P27" s="155">
        <f t="shared" si="84"/>
        <v>-0.0077634433154469829</v>
      </c>
      <c r="Q27" s="976">
        <f t="shared" si="84"/>
        <v>0.011748347001901305</v>
      </c>
      <c r="R27" s="155">
        <f t="shared" si="84"/>
        <v>-0.0090482573726541338</v>
      </c>
      <c r="S27" s="155">
        <f t="shared" si="84"/>
        <v>0.02026274771765757</v>
      </c>
      <c r="T27" s="155">
        <f t="shared" si="84"/>
        <v>0.02137793531236154</v>
      </c>
      <c r="U27" s="155">
        <f t="shared" si="84"/>
        <v>0.067541134506961198</v>
      </c>
      <c r="V27" s="976">
        <f t="shared" si="84"/>
        <v>0.02471040305163652</v>
      </c>
      <c r="W27" s="155">
        <f t="shared" si="84"/>
        <v>0.063465223762822598</v>
      </c>
      <c r="X27" s="155">
        <f t="shared" si="84"/>
        <v>0.046158882584024452</v>
      </c>
      <c r="Y27" s="155">
        <f t="shared" si="84"/>
        <v>0.047608719227849372</v>
      </c>
      <c r="Z27" s="155">
        <f t="shared" si="84"/>
        <v>0.060896744988143903</v>
      </c>
      <c r="AA27" s="976">
        <f t="shared" si="84"/>
        <v>0.054469808945092346</v>
      </c>
      <c r="AB27" s="155">
        <f t="shared" si="84"/>
        <v>0.035615857536569928</v>
      </c>
      <c r="AC27" s="155">
        <f t="shared" si="84"/>
        <v>0.053405653489099869</v>
      </c>
      <c r="AD27" s="155">
        <f t="shared" si="84"/>
        <v>0.083333333333333259</v>
      </c>
      <c r="AE27" s="155">
        <f t="shared" si="84"/>
        <v>-0.036777405262623186</v>
      </c>
      <c r="AF27" s="976">
        <f t="shared" si="84"/>
        <v>0.033511577198629405</v>
      </c>
      <c r="AG27" s="155">
        <f t="shared" si="84"/>
        <v>0.12487205731832129</v>
      </c>
      <c r="AH27" s="155">
        <f t="shared" si="84"/>
        <v>0.10347559164273701</v>
      </c>
      <c r="AI27" s="155">
        <f t="shared" si="84"/>
        <v>0.05771619684663154</v>
      </c>
      <c r="AJ27" s="155">
        <f t="shared" si="84"/>
        <v>0.20999894525893903</v>
      </c>
      <c r="AK27" s="976">
        <f t="shared" si="84"/>
        <v>0.12206454853698356</v>
      </c>
      <c r="AL27" s="155">
        <f>AL676/AG676-1</f>
        <v>-0.10227479526842587</v>
      </c>
      <c r="AM27" s="155">
        <f>AM676/AH676-1</f>
        <v>-0.066493180186647516</v>
      </c>
      <c r="AN27" s="155">
        <f>AN676/AI676-1</f>
        <v>-0.035323877495708755</v>
      </c>
      <c r="AO27" s="155">
        <f t="shared" si="85" ref="AO27:AP27">AO676/AJ676-1</f>
        <v>-0.044456066945606665</v>
      </c>
      <c r="AP27" s="976">
        <f t="shared" si="85"/>
        <v>-0.061913822048125344</v>
      </c>
      <c r="AQ27" s="155">
        <f t="shared" si="86" ref="AQ27:AV27">AQ676/AL676-1</f>
        <v>0.26201094668558689</v>
      </c>
      <c r="AR27" s="155">
        <f t="shared" si="86"/>
        <v>0.21561088147649721</v>
      </c>
      <c r="AS27" s="155">
        <f t="shared" si="86"/>
        <v>0.16875819441843043</v>
      </c>
      <c r="AT27" s="155">
        <f t="shared" si="86"/>
        <v>0.18691844553913528</v>
      </c>
      <c r="AU27" s="976">
        <f t="shared" si="86"/>
        <v>0.20709155551313563</v>
      </c>
      <c r="AV27" s="155">
        <f t="shared" si="86"/>
        <v>-0.0092362059272347308</v>
      </c>
      <c r="AW27" s="155">
        <f t="shared" si="87" ref="AW27:BJ27">AW676/AR676-1</f>
        <v>-0.033765617586588692</v>
      </c>
      <c r="AX27" s="155">
        <f t="shared" si="87"/>
        <v>0.058333333333333348</v>
      </c>
      <c r="AY27" s="155">
        <f t="shared" si="87"/>
        <v>0.048958573514718218</v>
      </c>
      <c r="AZ27" s="976">
        <f t="shared" si="87"/>
        <v>0.016268680319443396</v>
      </c>
      <c r="BA27" s="155">
        <f t="shared" si="88" ref="BA27:BI27">BA676/AV676-1</f>
        <v>0.11754215304798965</v>
      </c>
      <c r="BB27" s="155">
        <f t="shared" si="88"/>
        <v>0.14403797364759807</v>
      </c>
      <c r="BC27" s="155">
        <f t="shared" si="88"/>
        <v>0.097592368261659512</v>
      </c>
      <c r="BD27" s="155">
        <f t="shared" si="88"/>
        <v>0.086752637749120787</v>
      </c>
      <c r="BE27" s="976">
        <f t="shared" si="88"/>
        <v>0.11054054579759187</v>
      </c>
      <c r="BF27" s="155">
        <f>BF676/BA676-1</f>
        <v>0.10684752647613527</v>
      </c>
      <c r="BG27" s="155">
        <f>BG676/BB676-1</f>
        <v>0.12411474354388718</v>
      </c>
      <c r="BH27" s="735">
        <f>BH676/BC676-1</f>
        <v>0.14692695040353176</v>
      </c>
      <c r="BI27" s="156">
        <f t="shared" si="88"/>
        <v>0.047581652489669279</v>
      </c>
      <c r="BJ27" s="975">
        <f t="shared" si="87"/>
        <v>0.10585580042958576</v>
      </c>
      <c r="BK27" s="156">
        <f>BK676/BF676-1</f>
        <v>0.047788092821034356</v>
      </c>
      <c r="BL27" s="156">
        <f>BL676/BG676-1</f>
        <v>0.092600097167520268</v>
      </c>
      <c r="BM27" s="156">
        <f>BM676/BH676-1</f>
        <v>0.062401914967485705</v>
      </c>
      <c r="BN27" s="156">
        <f>BN676/BI676-1</f>
        <v>0.070884828022317103</v>
      </c>
      <c r="BO27" s="975">
        <f>BO676/BJ676-1</f>
        <v>0.068473516499525822</v>
      </c>
      <c r="BP27" s="975">
        <f>BP676/BO676-1</f>
        <v>0.0063551803727628364</v>
      </c>
      <c r="BQ27" s="975">
        <f>BQ676/BP676-1</f>
        <v>0.027108744928551642</v>
      </c>
      <c r="BR27" s="975">
        <f>BR676/BQ676-1</f>
        <v>0.02990808239128806</v>
      </c>
      <c r="BS27" s="158"/>
    </row>
    <row r="28" spans="1:71" s="25" customFormat="1" ht="15">
      <c r="A28" s="479"/>
      <c r="B28" s="477"/>
      <c r="C28" s="977"/>
      <c r="D28" s="977"/>
      <c r="E28" s="977"/>
      <c r="F28" s="977"/>
      <c r="G28" s="977"/>
      <c r="H28" s="140"/>
      <c r="I28" s="140"/>
      <c r="J28" s="140"/>
      <c r="K28" s="140"/>
      <c r="L28" s="977"/>
      <c r="M28" s="140"/>
      <c r="N28" s="140"/>
      <c r="O28" s="140"/>
      <c r="P28" s="140"/>
      <c r="Q28" s="977"/>
      <c r="R28" s="140"/>
      <c r="S28" s="140"/>
      <c r="T28" s="140"/>
      <c r="U28" s="140"/>
      <c r="V28" s="977"/>
      <c r="W28" s="140"/>
      <c r="X28" s="140"/>
      <c r="Y28" s="140"/>
      <c r="Z28" s="140"/>
      <c r="AA28" s="977"/>
      <c r="AB28" s="140"/>
      <c r="AC28" s="140"/>
      <c r="AD28" s="140"/>
      <c r="AE28" s="140"/>
      <c r="AF28" s="977"/>
      <c r="AG28" s="140"/>
      <c r="AH28" s="140"/>
      <c r="AI28" s="140"/>
      <c r="AJ28" s="140"/>
      <c r="AK28" s="977"/>
      <c r="AL28" s="140"/>
      <c r="AM28" s="140"/>
      <c r="AN28" s="140"/>
      <c r="AO28" s="140"/>
      <c r="AP28" s="977"/>
      <c r="AQ28" s="140"/>
      <c r="AR28" s="140"/>
      <c r="AS28" s="140"/>
      <c r="AT28" s="140"/>
      <c r="AU28" s="977"/>
      <c r="AV28" s="140"/>
      <c r="AW28" s="140"/>
      <c r="AX28" s="140"/>
      <c r="AY28" s="140"/>
      <c r="AZ28" s="977"/>
      <c r="BA28" s="140"/>
      <c r="BB28" s="140"/>
      <c r="BC28" s="140"/>
      <c r="BD28" s="140"/>
      <c r="BE28" s="977"/>
      <c r="BF28" s="140"/>
      <c r="BG28" s="140"/>
      <c r="BH28" s="736"/>
      <c r="BI28" s="140"/>
      <c r="BJ28" s="977"/>
      <c r="BK28" s="140"/>
      <c r="BL28" s="140"/>
      <c r="BM28" s="140"/>
      <c r="BN28" s="140"/>
      <c r="BO28" s="977"/>
      <c r="BP28" s="977"/>
      <c r="BQ28" s="977"/>
      <c r="BR28" s="977"/>
      <c r="BS28" s="158"/>
    </row>
    <row r="29" spans="1:71" s="17" customFormat="1" ht="15">
      <c r="A29" s="818" t="s">
        <v>617</v>
      </c>
      <c r="B29" s="818"/>
      <c r="C29" s="837"/>
      <c r="D29" s="837"/>
      <c r="E29" s="837"/>
      <c r="F29" s="837"/>
      <c r="G29" s="837"/>
      <c r="H29" s="837"/>
      <c r="I29" s="837"/>
      <c r="J29" s="837"/>
      <c r="K29" s="837"/>
      <c r="L29" s="837"/>
      <c r="M29" s="837"/>
      <c r="N29" s="837"/>
      <c r="O29" s="837"/>
      <c r="P29" s="837"/>
      <c r="Q29" s="837"/>
      <c r="R29" s="837"/>
      <c r="S29" s="837"/>
      <c r="T29" s="837"/>
      <c r="U29" s="837"/>
      <c r="V29" s="837"/>
      <c r="W29" s="837"/>
      <c r="X29" s="837"/>
      <c r="Y29" s="837"/>
      <c r="Z29" s="837"/>
      <c r="AA29" s="837"/>
      <c r="AB29" s="837"/>
      <c r="AC29" s="837"/>
      <c r="AD29" s="837"/>
      <c r="AE29" s="837"/>
      <c r="AF29" s="837"/>
      <c r="AG29" s="837"/>
      <c r="AH29" s="837"/>
      <c r="AI29" s="837"/>
      <c r="AJ29" s="837"/>
      <c r="AK29" s="837"/>
      <c r="AL29" s="837"/>
      <c r="AM29" s="837"/>
      <c r="AN29" s="837"/>
      <c r="AO29" s="837"/>
      <c r="AP29" s="837"/>
      <c r="AQ29" s="837"/>
      <c r="AR29" s="837"/>
      <c r="AS29" s="837"/>
      <c r="AT29" s="837"/>
      <c r="AU29" s="837"/>
      <c r="AV29" s="837"/>
      <c r="AW29" s="837"/>
      <c r="AX29" s="837"/>
      <c r="AY29" s="837"/>
      <c r="AZ29" s="837"/>
      <c r="BA29" s="837"/>
      <c r="BB29" s="837"/>
      <c r="BC29" s="837"/>
      <c r="BD29" s="837"/>
      <c r="BE29" s="837"/>
      <c r="BF29" s="837"/>
      <c r="BG29" s="837"/>
      <c r="BH29" s="838"/>
      <c r="BI29" s="837"/>
      <c r="BJ29" s="837"/>
      <c r="BK29" s="837"/>
      <c r="BL29" s="837"/>
      <c r="BM29" s="837"/>
      <c r="BN29" s="837"/>
      <c r="BO29" s="837"/>
      <c r="BP29" s="837"/>
      <c r="BQ29" s="837"/>
      <c r="BR29" s="837"/>
      <c r="BS29" s="457"/>
    </row>
    <row r="30" spans="1:71" s="300" customFormat="1" ht="15">
      <c r="A30" s="304" t="s">
        <v>618</v>
      </c>
      <c r="B30" s="123"/>
      <c r="C30" s="980"/>
      <c r="D30" s="980"/>
      <c r="E30" s="980"/>
      <c r="F30" s="980"/>
      <c r="G30" s="980"/>
      <c r="H30" s="467"/>
      <c r="I30" s="467"/>
      <c r="J30" s="467"/>
      <c r="K30" s="467"/>
      <c r="L30" s="980"/>
      <c r="M30" s="467"/>
      <c r="N30" s="467"/>
      <c r="O30" s="467"/>
      <c r="P30" s="467"/>
      <c r="Q30" s="980"/>
      <c r="R30" s="467"/>
      <c r="S30" s="467"/>
      <c r="T30" s="467"/>
      <c r="U30" s="467"/>
      <c r="V30" s="980"/>
      <c r="W30" s="386">
        <f t="shared" si="89" ref="W30:AK30">W185+W194+W195+W186</f>
        <v>8234</v>
      </c>
      <c r="X30" s="386">
        <f t="shared" si="89"/>
        <v>8375</v>
      </c>
      <c r="Y30" s="386">
        <f t="shared" si="89"/>
        <v>8449</v>
      </c>
      <c r="Z30" s="386">
        <f t="shared" si="89"/>
        <v>8556</v>
      </c>
      <c r="AA30" s="981">
        <f t="shared" si="89"/>
        <v>33614</v>
      </c>
      <c r="AB30" s="386">
        <f t="shared" si="89"/>
        <v>8530</v>
      </c>
      <c r="AC30" s="386">
        <f t="shared" si="89"/>
        <v>8726</v>
      </c>
      <c r="AD30" s="386">
        <f t="shared" si="89"/>
        <v>8922</v>
      </c>
      <c r="AE30" s="386">
        <f t="shared" si="89"/>
        <v>8974</v>
      </c>
      <c r="AF30" s="981">
        <f t="shared" si="89"/>
        <v>35152</v>
      </c>
      <c r="AG30" s="386">
        <f t="shared" si="89"/>
        <v>8974</v>
      </c>
      <c r="AH30" s="386">
        <f t="shared" si="89"/>
        <v>9342</v>
      </c>
      <c r="AI30" s="386">
        <f t="shared" si="89"/>
        <v>9425</v>
      </c>
      <c r="AJ30" s="386">
        <f t="shared" si="89"/>
        <v>9376</v>
      </c>
      <c r="AK30" s="981">
        <f t="shared" si="89"/>
        <v>37117</v>
      </c>
      <c r="AL30" s="386">
        <f>AL185+AL194+AL195+AL186</f>
        <v>9296</v>
      </c>
      <c r="AM30" s="386">
        <f>AM185+AM194+AM195+AM186</f>
        <v>9247</v>
      </c>
      <c r="AN30" s="386">
        <f>AN185+AN194+AN195+AN186</f>
        <v>9594</v>
      </c>
      <c r="AO30" s="386">
        <f t="shared" si="90" ref="AO30:AP30">AO185+AO194+AO195+AO186</f>
        <v>9721</v>
      </c>
      <c r="AP30" s="981">
        <f t="shared" si="90"/>
        <v>37737</v>
      </c>
      <c r="AQ30" s="386">
        <f t="shared" si="91" ref="AQ30:AV30">AQ185+AQ194+AQ195+AQ186</f>
        <v>11358</v>
      </c>
      <c r="AR30" s="386">
        <f t="shared" si="91"/>
        <v>11526</v>
      </c>
      <c r="AS30" s="386">
        <f t="shared" si="91"/>
        <v>11328</v>
      </c>
      <c r="AT30" s="386">
        <f t="shared" si="91"/>
        <v>11818</v>
      </c>
      <c r="AU30" s="981">
        <f t="shared" si="91"/>
        <v>46030</v>
      </c>
      <c r="AV30" s="386">
        <f t="shared" si="91"/>
        <v>11200</v>
      </c>
      <c r="AW30" s="386">
        <f t="shared" si="92" ref="AW30:AX30">AW185+AW194+AW195+AW186</f>
        <v>11073</v>
      </c>
      <c r="AX30" s="386">
        <f t="shared" si="92"/>
        <v>12030</v>
      </c>
      <c r="AY30" s="467">
        <f t="shared" si="93" ref="AY30:AZ30">AY185+AY194+AY195+AY186</f>
        <v>12335</v>
      </c>
      <c r="AZ30" s="980">
        <f t="shared" si="93"/>
        <v>46638</v>
      </c>
      <c r="BA30" s="386">
        <f t="shared" si="94" ref="BA30:BI30">BA185+BA194+BA195+BA186</f>
        <v>12509</v>
      </c>
      <c r="BB30" s="386">
        <f t="shared" si="94"/>
        <v>12719</v>
      </c>
      <c r="BC30" s="386">
        <f t="shared" si="95" ref="BC30:BE30">BC185+BC194+BC195+BC186</f>
        <v>13228</v>
      </c>
      <c r="BD30" s="386">
        <f t="shared" si="95"/>
        <v>13442</v>
      </c>
      <c r="BE30" s="981">
        <f t="shared" si="95"/>
        <v>51898</v>
      </c>
      <c r="BF30" s="386">
        <f>BF185+BF194+BF195+BF186</f>
        <v>13870</v>
      </c>
      <c r="BG30" s="386">
        <f>BG185+BG194+BG195+BG186</f>
        <v>14320</v>
      </c>
      <c r="BH30" s="739">
        <f>BH185+BH194+BH195+BH186</f>
        <v>15155</v>
      </c>
      <c r="BI30" s="467">
        <f t="shared" si="94"/>
        <v>14135.05101967213</v>
      </c>
      <c r="BJ30" s="980">
        <f t="shared" si="96" ref="BJ30:BJ36">SUM(BF30,BG30,BH30,BI30)</f>
        <v>57480.05101967213</v>
      </c>
      <c r="BK30" s="467">
        <f>BK185+BK194+BK195+BK186</f>
        <v>14716.672306027398</v>
      </c>
      <c r="BL30" s="467">
        <f>BL185+BL194+BL195+BL186</f>
        <v>15841.59175583562</v>
      </c>
      <c r="BM30" s="467">
        <f>BM185+BM194+BM195+BM186</f>
        <v>16306.207772164384</v>
      </c>
      <c r="BN30" s="467">
        <f>BN185+BN194+BN195+BN186</f>
        <v>15221.601700991781</v>
      </c>
      <c r="BO30" s="980">
        <f t="shared" si="97" ref="BO30:BO36">SUM(BK30,BL30,BM30,BN30)</f>
        <v>62086.073535019183</v>
      </c>
      <c r="BP30" s="980">
        <f>BP185+BP194+BP195+BP186</f>
        <v>62283.589180260016</v>
      </c>
      <c r="BQ30" s="980">
        <f>BQ185+BQ194+BQ195+BQ186</f>
        <v>63903.570380574616</v>
      </c>
      <c r="BR30" s="980">
        <f>BR185+BR194+BR195+BR186</f>
        <v>65757.64709668381</v>
      </c>
      <c r="BS30" s="305"/>
    </row>
    <row r="31" spans="1:71" s="300" customFormat="1" ht="15">
      <c r="A31" s="304" t="s">
        <v>673</v>
      </c>
      <c r="B31" s="123"/>
      <c r="C31" s="980"/>
      <c r="D31" s="980"/>
      <c r="E31" s="980"/>
      <c r="F31" s="980"/>
      <c r="G31" s="980"/>
      <c r="H31" s="467"/>
      <c r="I31" s="467"/>
      <c r="J31" s="467"/>
      <c r="K31" s="467"/>
      <c r="L31" s="980"/>
      <c r="M31" s="467"/>
      <c r="N31" s="467"/>
      <c r="O31" s="467"/>
      <c r="P31" s="467"/>
      <c r="Q31" s="980"/>
      <c r="R31" s="467"/>
      <c r="S31" s="467"/>
      <c r="T31" s="467"/>
      <c r="U31" s="467"/>
      <c r="V31" s="980"/>
      <c r="W31" s="386">
        <f t="shared" si="98" ref="W31:AK31">W235</f>
        <v>247</v>
      </c>
      <c r="X31" s="386">
        <f t="shared" si="98"/>
        <v>260</v>
      </c>
      <c r="Y31" s="386">
        <f t="shared" si="98"/>
        <v>272</v>
      </c>
      <c r="Z31" s="386">
        <f t="shared" si="98"/>
        <v>280</v>
      </c>
      <c r="AA31" s="981">
        <f t="shared" si="98"/>
        <v>1059</v>
      </c>
      <c r="AB31" s="386">
        <f t="shared" si="98"/>
        <v>313</v>
      </c>
      <c r="AC31" s="386">
        <f t="shared" si="98"/>
        <v>320</v>
      </c>
      <c r="AD31" s="386">
        <f t="shared" si="98"/>
        <v>329</v>
      </c>
      <c r="AE31" s="386">
        <f t="shared" si="98"/>
        <v>356</v>
      </c>
      <c r="AF31" s="981">
        <f t="shared" si="98"/>
        <v>1318</v>
      </c>
      <c r="AG31" s="386">
        <f t="shared" si="98"/>
        <v>392</v>
      </c>
      <c r="AH31" s="386">
        <f t="shared" si="98"/>
        <v>405</v>
      </c>
      <c r="AI31" s="386">
        <f t="shared" si="98"/>
        <v>418</v>
      </c>
      <c r="AJ31" s="386">
        <f t="shared" si="98"/>
        <v>434</v>
      </c>
      <c r="AK31" s="981">
        <f t="shared" si="98"/>
        <v>1649</v>
      </c>
      <c r="AL31" s="386">
        <f>AL235</f>
        <v>430</v>
      </c>
      <c r="AM31" s="386">
        <f>AM235</f>
        <v>476</v>
      </c>
      <c r="AN31" s="386">
        <f>AN235</f>
        <v>498</v>
      </c>
      <c r="AO31" s="386">
        <f t="shared" si="99" ref="AO31:AP31">AO235</f>
        <v>518</v>
      </c>
      <c r="AP31" s="981">
        <f t="shared" si="99"/>
        <v>1922</v>
      </c>
      <c r="AQ31" s="386">
        <f t="shared" si="100" ref="AQ31:AV31">AQ235</f>
        <v>562</v>
      </c>
      <c r="AR31" s="386">
        <f t="shared" si="100"/>
        <v>587</v>
      </c>
      <c r="AS31" s="386">
        <f t="shared" si="100"/>
        <v>601</v>
      </c>
      <c r="AT31" s="386">
        <f t="shared" si="100"/>
        <v>611</v>
      </c>
      <c r="AU31" s="981">
        <f t="shared" si="100"/>
        <v>2361</v>
      </c>
      <c r="AV31" s="386">
        <f t="shared" si="100"/>
        <v>614</v>
      </c>
      <c r="AW31" s="386">
        <f t="shared" si="101" ref="AW31:AX31">AW235</f>
        <v>599</v>
      </c>
      <c r="AX31" s="386">
        <f t="shared" si="101"/>
        <v>627</v>
      </c>
      <c r="AY31" s="467">
        <f t="shared" si="102" ref="AY31:AZ31">AY235</f>
        <v>647</v>
      </c>
      <c r="AZ31" s="980">
        <f t="shared" si="102"/>
        <v>2487</v>
      </c>
      <c r="BA31" s="386">
        <f t="shared" si="103" ref="BA31:BI31">BA235</f>
        <v>670</v>
      </c>
      <c r="BB31" s="386">
        <f t="shared" si="103"/>
        <v>682</v>
      </c>
      <c r="BC31" s="386">
        <f t="shared" si="104" ref="BC31:BE31">BC235</f>
        <v>689</v>
      </c>
      <c r="BD31" s="386">
        <f t="shared" si="104"/>
        <v>732</v>
      </c>
      <c r="BE31" s="981">
        <f t="shared" si="104"/>
        <v>2773</v>
      </c>
      <c r="BF31" s="386">
        <f>BF235</f>
        <v>748</v>
      </c>
      <c r="BG31" s="386">
        <f>BG235</f>
        <v>772</v>
      </c>
      <c r="BH31" s="739">
        <f>BH235</f>
        <v>832</v>
      </c>
      <c r="BI31" s="467">
        <f t="shared" si="103"/>
        <v>788.50443442622941</v>
      </c>
      <c r="BJ31" s="980">
        <f t="shared" si="96"/>
        <v>3140.5044344262296</v>
      </c>
      <c r="BK31" s="467">
        <f>BK235</f>
        <v>678.51193013698639</v>
      </c>
      <c r="BL31" s="467">
        <f>BL235</f>
        <v>738.35097308219179</v>
      </c>
      <c r="BM31" s="467">
        <f>BM235</f>
        <v>764.53379506849319</v>
      </c>
      <c r="BN31" s="467">
        <f>BN235</f>
        <v>830.42217956164382</v>
      </c>
      <c r="BO31" s="980">
        <f t="shared" si="97"/>
        <v>3011.818877849315</v>
      </c>
      <c r="BP31" s="980">
        <f>BP235</f>
        <v>3171.5719323999997</v>
      </c>
      <c r="BQ31" s="980">
        <f>BQ235</f>
        <v>3336.4704732880009</v>
      </c>
      <c r="BR31" s="980">
        <f>BR235</f>
        <v>3510.4923345325606</v>
      </c>
      <c r="BS31" s="305"/>
    </row>
    <row r="32" spans="1:71" s="300" customFormat="1" ht="15" hidden="1" outlineLevel="1">
      <c r="A32" s="304" t="s">
        <v>619</v>
      </c>
      <c r="B32" s="123"/>
      <c r="C32" s="980"/>
      <c r="D32" s="980"/>
      <c r="E32" s="980"/>
      <c r="F32" s="980"/>
      <c r="G32" s="980"/>
      <c r="H32" s="467"/>
      <c r="I32" s="467"/>
      <c r="J32" s="467"/>
      <c r="K32" s="467"/>
      <c r="L32" s="980"/>
      <c r="M32" s="467"/>
      <c r="N32" s="467"/>
      <c r="O32" s="467"/>
      <c r="P32" s="467"/>
      <c r="Q32" s="980"/>
      <c r="R32" s="467"/>
      <c r="S32" s="467"/>
      <c r="T32" s="467"/>
      <c r="U32" s="467"/>
      <c r="V32" s="980"/>
      <c r="W32" s="386">
        <f t="shared" si="105" ref="W32:AQ32">W538</f>
        <v>469</v>
      </c>
      <c r="X32" s="386">
        <f t="shared" si="105"/>
        <v>471</v>
      </c>
      <c r="Y32" s="386">
        <f t="shared" si="105"/>
        <v>463</v>
      </c>
      <c r="Z32" s="386">
        <f t="shared" si="105"/>
        <v>485</v>
      </c>
      <c r="AA32" s="981">
        <f t="shared" si="105"/>
        <v>1888</v>
      </c>
      <c r="AB32" s="386">
        <f t="shared" si="105"/>
        <v>472</v>
      </c>
      <c r="AC32" s="386">
        <f t="shared" si="105"/>
        <v>481</v>
      </c>
      <c r="AD32" s="386">
        <f t="shared" si="105"/>
        <v>477</v>
      </c>
      <c r="AE32" s="386">
        <f t="shared" si="105"/>
        <v>495</v>
      </c>
      <c r="AF32" s="981">
        <f t="shared" si="105"/>
        <v>1925</v>
      </c>
      <c r="AG32" s="386">
        <f t="shared" si="105"/>
        <v>486</v>
      </c>
      <c r="AH32" s="386">
        <f t="shared" si="105"/>
        <v>492</v>
      </c>
      <c r="AI32" s="386">
        <f t="shared" si="105"/>
        <v>495</v>
      </c>
      <c r="AJ32" s="386">
        <f t="shared" si="105"/>
        <v>510</v>
      </c>
      <c r="AK32" s="981">
        <f t="shared" si="105"/>
        <v>1983</v>
      </c>
      <c r="AL32" s="386">
        <f t="shared" si="105"/>
        <v>462</v>
      </c>
      <c r="AM32" s="386">
        <f t="shared" si="105"/>
        <v>505</v>
      </c>
      <c r="AN32" s="386">
        <f t="shared" si="105"/>
        <v>490</v>
      </c>
      <c r="AO32" s="386">
        <f t="shared" si="105"/>
        <v>496</v>
      </c>
      <c r="AP32" s="981">
        <f t="shared" si="105"/>
        <v>1953</v>
      </c>
      <c r="AQ32" s="386">
        <f t="shared" si="105"/>
        <v>0</v>
      </c>
      <c r="AR32" s="386">
        <f t="shared" si="106" ref="AR32:AU32">AR538</f>
        <v>0</v>
      </c>
      <c r="AS32" s="386">
        <f t="shared" si="106"/>
        <v>0</v>
      </c>
      <c r="AT32" s="386">
        <f t="shared" si="106"/>
        <v>0</v>
      </c>
      <c r="AU32" s="981">
        <f t="shared" si="106"/>
        <v>0</v>
      </c>
      <c r="AV32" s="386">
        <f t="shared" si="107" ref="AV32:AX32">AV538</f>
        <v>0</v>
      </c>
      <c r="AW32" s="386">
        <f t="shared" si="107"/>
        <v>0</v>
      </c>
      <c r="AX32" s="386">
        <f t="shared" si="107"/>
        <v>0</v>
      </c>
      <c r="AY32" s="467">
        <f t="shared" si="108" ref="AY32:AZ32">AY538</f>
        <v>0</v>
      </c>
      <c r="AZ32" s="980">
        <f t="shared" si="108"/>
        <v>0</v>
      </c>
      <c r="BA32" s="386">
        <f t="shared" si="109" ref="BA32:BI32">BA538</f>
        <v>0</v>
      </c>
      <c r="BB32" s="386">
        <f t="shared" si="109"/>
        <v>0</v>
      </c>
      <c r="BC32" s="386">
        <f t="shared" si="110" ref="BC32:BE32">BC538</f>
        <v>0</v>
      </c>
      <c r="BD32" s="386">
        <f t="shared" si="110"/>
        <v>0</v>
      </c>
      <c r="BE32" s="981">
        <f t="shared" si="110"/>
        <v>0</v>
      </c>
      <c r="BF32" s="386">
        <f>BF538</f>
        <v>0</v>
      </c>
      <c r="BG32" s="386">
        <f>BG538</f>
        <v>0</v>
      </c>
      <c r="BH32" s="739">
        <f>BH538</f>
        <v>0</v>
      </c>
      <c r="BI32" s="467">
        <f t="shared" si="109"/>
        <v>0</v>
      </c>
      <c r="BJ32" s="980">
        <f t="shared" si="96"/>
        <v>0</v>
      </c>
      <c r="BK32" s="467">
        <f>BK538</f>
        <v>0</v>
      </c>
      <c r="BL32" s="467">
        <f>BL538</f>
        <v>0</v>
      </c>
      <c r="BM32" s="467">
        <f>BM538</f>
        <v>0</v>
      </c>
      <c r="BN32" s="467">
        <f>BN538</f>
        <v>0</v>
      </c>
      <c r="BO32" s="980">
        <f t="shared" si="97"/>
        <v>0</v>
      </c>
      <c r="BP32" s="980">
        <f>BP538</f>
        <v>0</v>
      </c>
      <c r="BQ32" s="980">
        <f>BQ538</f>
        <v>0</v>
      </c>
      <c r="BR32" s="980">
        <f>BR538</f>
        <v>0</v>
      </c>
      <c r="BS32" s="305"/>
    </row>
    <row r="33" spans="1:71" s="300" customFormat="1" ht="15" collapsed="1">
      <c r="A33" s="304" t="s">
        <v>719</v>
      </c>
      <c r="B33" s="123"/>
      <c r="C33" s="980"/>
      <c r="D33" s="980"/>
      <c r="E33" s="980"/>
      <c r="F33" s="980"/>
      <c r="G33" s="980"/>
      <c r="H33" s="467"/>
      <c r="I33" s="467"/>
      <c r="J33" s="467"/>
      <c r="K33" s="467"/>
      <c r="L33" s="980"/>
      <c r="M33" s="467"/>
      <c r="N33" s="467"/>
      <c r="O33" s="467"/>
      <c r="P33" s="467"/>
      <c r="Q33" s="980"/>
      <c r="R33" s="467"/>
      <c r="S33" s="467"/>
      <c r="T33" s="467"/>
      <c r="U33" s="467"/>
      <c r="V33" s="980"/>
      <c r="W33" s="386">
        <f t="shared" si="111" ref="W33:AK33">W274</f>
        <v>286</v>
      </c>
      <c r="X33" s="386">
        <f t="shared" si="111"/>
        <v>288</v>
      </c>
      <c r="Y33" s="386">
        <f t="shared" si="111"/>
        <v>292</v>
      </c>
      <c r="Z33" s="386">
        <f t="shared" si="111"/>
        <v>291</v>
      </c>
      <c r="AA33" s="981">
        <f t="shared" si="111"/>
        <v>1157</v>
      </c>
      <c r="AB33" s="386">
        <f t="shared" si="111"/>
        <v>303</v>
      </c>
      <c r="AC33" s="386">
        <f t="shared" si="111"/>
        <v>302</v>
      </c>
      <c r="AD33" s="386">
        <f t="shared" si="111"/>
        <v>306</v>
      </c>
      <c r="AE33" s="386">
        <f t="shared" si="111"/>
        <v>292</v>
      </c>
      <c r="AF33" s="981">
        <f t="shared" si="111"/>
        <v>1203</v>
      </c>
      <c r="AG33" s="386">
        <f t="shared" si="111"/>
        <v>311</v>
      </c>
      <c r="AH33" s="386">
        <f t="shared" si="111"/>
        <v>307</v>
      </c>
      <c r="AI33" s="386">
        <f t="shared" si="111"/>
        <v>314</v>
      </c>
      <c r="AJ33" s="386">
        <f t="shared" si="111"/>
        <v>308</v>
      </c>
      <c r="AK33" s="981">
        <f t="shared" si="111"/>
        <v>1240</v>
      </c>
      <c r="AL33" s="386">
        <f>AL274</f>
        <v>288</v>
      </c>
      <c r="AM33" s="386">
        <f>AM274</f>
        <v>294</v>
      </c>
      <c r="AN33" s="386">
        <f>AN274</f>
        <v>308</v>
      </c>
      <c r="AO33" s="386">
        <f t="shared" si="112" ref="AO33:AP33">AO274</f>
        <v>290</v>
      </c>
      <c r="AP33" s="981">
        <f t="shared" si="112"/>
        <v>1180</v>
      </c>
      <c r="AQ33" s="386">
        <f t="shared" si="113" ref="AQ33:AV33">AQ274</f>
        <v>556</v>
      </c>
      <c r="AR33" s="386">
        <f t="shared" si="113"/>
        <v>553</v>
      </c>
      <c r="AS33" s="386">
        <f t="shared" si="113"/>
        <v>562</v>
      </c>
      <c r="AT33" s="386">
        <f t="shared" si="113"/>
        <v>590</v>
      </c>
      <c r="AU33" s="981">
        <f t="shared" si="113"/>
        <v>2261</v>
      </c>
      <c r="AV33" s="386">
        <f t="shared" si="113"/>
        <v>573</v>
      </c>
      <c r="AW33" s="386">
        <f t="shared" si="114" ref="AW33:AX33">AW274</f>
        <v>561</v>
      </c>
      <c r="AX33" s="386">
        <f t="shared" si="114"/>
        <v>564</v>
      </c>
      <c r="AY33" s="467">
        <f t="shared" si="115" ref="AY33:AZ33">AY274</f>
        <v>561</v>
      </c>
      <c r="AZ33" s="980">
        <f t="shared" si="115"/>
        <v>2259</v>
      </c>
      <c r="BA33" s="386">
        <f t="shared" si="116" ref="BA33:BI33">BA274</f>
        <v>585</v>
      </c>
      <c r="BB33" s="386">
        <f t="shared" si="116"/>
        <v>576</v>
      </c>
      <c r="BC33" s="386">
        <f t="shared" si="117" ref="BC33:BE33">BC274</f>
        <v>585</v>
      </c>
      <c r="BD33" s="386">
        <f t="shared" si="117"/>
        <v>632</v>
      </c>
      <c r="BE33" s="981">
        <f t="shared" si="117"/>
        <v>2378</v>
      </c>
      <c r="BF33" s="386">
        <f>BF274</f>
        <v>637</v>
      </c>
      <c r="BG33" s="386">
        <f>BG274</f>
        <v>620</v>
      </c>
      <c r="BH33" s="739">
        <f>BH274</f>
        <v>630</v>
      </c>
      <c r="BI33" s="467">
        <f t="shared" si="116"/>
        <v>616.86359377049178</v>
      </c>
      <c r="BJ33" s="980">
        <f t="shared" si="96"/>
        <v>2503.8635937704917</v>
      </c>
      <c r="BK33" s="467">
        <f>BK274</f>
        <v>596.50988863013697</v>
      </c>
      <c r="BL33" s="467">
        <f>BL274</f>
        <v>592.94004728767118</v>
      </c>
      <c r="BM33" s="467">
        <f>BM274</f>
        <v>597.85934690410966</v>
      </c>
      <c r="BN33" s="467">
        <f>BN274</f>
        <v>591.60967979835618</v>
      </c>
      <c r="BO33" s="980">
        <f t="shared" si="97"/>
        <v>2378.9189626202742</v>
      </c>
      <c r="BP33" s="980">
        <f>BP274</f>
        <v>2457.799209284</v>
      </c>
      <c r="BQ33" s="980">
        <f>BQ274</f>
        <v>2520.76457955968</v>
      </c>
      <c r="BR33" s="980">
        <f>BR274</f>
        <v>2585.600338823574</v>
      </c>
      <c r="BS33" s="305"/>
    </row>
    <row r="34" spans="1:71" s="300" customFormat="1" ht="15" hidden="1" outlineLevel="1">
      <c r="A34" s="304" t="s">
        <v>620</v>
      </c>
      <c r="B34" s="123"/>
      <c r="C34" s="980"/>
      <c r="D34" s="980"/>
      <c r="E34" s="980"/>
      <c r="F34" s="980"/>
      <c r="G34" s="980"/>
      <c r="H34" s="467"/>
      <c r="I34" s="467"/>
      <c r="J34" s="467"/>
      <c r="K34" s="467"/>
      <c r="L34" s="980"/>
      <c r="M34" s="467"/>
      <c r="N34" s="467"/>
      <c r="O34" s="467"/>
      <c r="P34" s="467"/>
      <c r="Q34" s="980"/>
      <c r="R34" s="467"/>
      <c r="S34" s="467"/>
      <c r="T34" s="467"/>
      <c r="U34" s="467"/>
      <c r="V34" s="980"/>
      <c r="W34" s="386">
        <f t="shared" si="118" ref="W34:AQ34">W577</f>
        <v>290</v>
      </c>
      <c r="X34" s="386">
        <f t="shared" si="118"/>
        <v>352</v>
      </c>
      <c r="Y34" s="386">
        <f t="shared" si="118"/>
        <v>346</v>
      </c>
      <c r="Z34" s="386">
        <f t="shared" si="118"/>
        <v>375</v>
      </c>
      <c r="AA34" s="981">
        <f t="shared" si="118"/>
        <v>1363</v>
      </c>
      <c r="AB34" s="386">
        <f t="shared" si="118"/>
        <v>264</v>
      </c>
      <c r="AC34" s="386">
        <f t="shared" si="118"/>
        <v>302</v>
      </c>
      <c r="AD34" s="386">
        <f t="shared" si="118"/>
        <v>316</v>
      </c>
      <c r="AE34" s="386">
        <f t="shared" si="118"/>
        <v>63</v>
      </c>
      <c r="AF34" s="981">
        <f t="shared" si="118"/>
        <v>945</v>
      </c>
      <c r="AG34" s="386">
        <f t="shared" si="118"/>
        <v>349</v>
      </c>
      <c r="AH34" s="386">
        <f t="shared" si="118"/>
        <v>348</v>
      </c>
      <c r="AI34" s="386">
        <f t="shared" si="118"/>
        <v>274</v>
      </c>
      <c r="AJ34" s="386">
        <f t="shared" si="118"/>
        <v>305</v>
      </c>
      <c r="AK34" s="981">
        <f t="shared" si="118"/>
        <v>1276</v>
      </c>
      <c r="AL34" s="386">
        <f t="shared" si="118"/>
        <v>-220</v>
      </c>
      <c r="AM34" s="386">
        <f t="shared" si="118"/>
        <v>313</v>
      </c>
      <c r="AN34" s="386">
        <f t="shared" si="118"/>
        <v>360</v>
      </c>
      <c r="AO34" s="386">
        <f t="shared" si="118"/>
        <v>597</v>
      </c>
      <c r="AP34" s="981">
        <f t="shared" si="118"/>
        <v>1050</v>
      </c>
      <c r="AQ34" s="386">
        <f t="shared" si="118"/>
        <v>0</v>
      </c>
      <c r="AR34" s="386">
        <f t="shared" si="119" ref="AR34:AU34">AR577</f>
        <v>0</v>
      </c>
      <c r="AS34" s="386">
        <f t="shared" si="119"/>
        <v>0</v>
      </c>
      <c r="AT34" s="386">
        <f t="shared" si="119"/>
        <v>0</v>
      </c>
      <c r="AU34" s="981">
        <f t="shared" si="119"/>
        <v>0</v>
      </c>
      <c r="AV34" s="386">
        <f t="shared" si="120" ref="AV34:AX34">AV577</f>
        <v>0</v>
      </c>
      <c r="AW34" s="386">
        <f t="shared" si="120"/>
        <v>0</v>
      </c>
      <c r="AX34" s="386">
        <f t="shared" si="120"/>
        <v>0</v>
      </c>
      <c r="AY34" s="467">
        <f t="shared" si="121" ref="AY34:AZ34">AY577</f>
        <v>0</v>
      </c>
      <c r="AZ34" s="980">
        <f t="shared" si="121"/>
        <v>0</v>
      </c>
      <c r="BA34" s="386">
        <f t="shared" si="122" ref="BA34:BI34">BA577</f>
        <v>0</v>
      </c>
      <c r="BB34" s="386">
        <f t="shared" si="122"/>
        <v>0</v>
      </c>
      <c r="BC34" s="386">
        <f t="shared" si="123" ref="BC34:BE34">BC577</f>
        <v>0</v>
      </c>
      <c r="BD34" s="386">
        <f t="shared" si="123"/>
        <v>0</v>
      </c>
      <c r="BE34" s="981">
        <f t="shared" si="123"/>
        <v>0</v>
      </c>
      <c r="BF34" s="386">
        <f>BF577</f>
        <v>0</v>
      </c>
      <c r="BG34" s="386">
        <f>BG577</f>
        <v>0</v>
      </c>
      <c r="BH34" s="739">
        <f>BH577</f>
        <v>0</v>
      </c>
      <c r="BI34" s="467">
        <f t="shared" si="122"/>
        <v>0</v>
      </c>
      <c r="BJ34" s="980">
        <f t="shared" si="96"/>
        <v>0</v>
      </c>
      <c r="BK34" s="467">
        <f>BK577</f>
        <v>0</v>
      </c>
      <c r="BL34" s="467">
        <f>BL577</f>
        <v>0</v>
      </c>
      <c r="BM34" s="467">
        <f>BM577</f>
        <v>0</v>
      </c>
      <c r="BN34" s="467">
        <f>BN577</f>
        <v>0</v>
      </c>
      <c r="BO34" s="980">
        <f t="shared" si="97"/>
        <v>0</v>
      </c>
      <c r="BP34" s="980">
        <f>BP577</f>
        <v>0</v>
      </c>
      <c r="BQ34" s="980">
        <f>BQ577</f>
        <v>0</v>
      </c>
      <c r="BR34" s="980">
        <f>BR577</f>
        <v>0</v>
      </c>
      <c r="BS34" s="305"/>
    </row>
    <row r="35" spans="1:71" s="300" customFormat="1" ht="15" collapsed="1">
      <c r="A35" s="304" t="s">
        <v>621</v>
      </c>
      <c r="B35" s="123"/>
      <c r="C35" s="980"/>
      <c r="D35" s="980"/>
      <c r="E35" s="980"/>
      <c r="F35" s="980"/>
      <c r="G35" s="980"/>
      <c r="H35" s="467"/>
      <c r="I35" s="467"/>
      <c r="J35" s="467"/>
      <c r="K35" s="467"/>
      <c r="L35" s="980"/>
      <c r="M35" s="467"/>
      <c r="N35" s="467"/>
      <c r="O35" s="467"/>
      <c r="P35" s="467"/>
      <c r="Q35" s="980"/>
      <c r="R35" s="467"/>
      <c r="S35" s="467"/>
      <c r="T35" s="467"/>
      <c r="U35" s="467"/>
      <c r="V35" s="980"/>
      <c r="W35" s="386">
        <f>W309+W310</f>
        <v>11</v>
      </c>
      <c r="X35" s="386">
        <f>X309+X310</f>
        <v>10</v>
      </c>
      <c r="Y35" s="386">
        <f>Y309+Y310</f>
        <v>10</v>
      </c>
      <c r="Z35" s="386">
        <f>Z309+Z310</f>
        <v>10</v>
      </c>
      <c r="AA35" s="981">
        <f t="shared" si="124" ref="AA35:AX35">AA308+AA309+AA310</f>
        <v>41</v>
      </c>
      <c r="AB35" s="386">
        <f t="shared" si="124"/>
        <v>13</v>
      </c>
      <c r="AC35" s="386">
        <f t="shared" si="124"/>
        <v>23</v>
      </c>
      <c r="AD35" s="386">
        <f t="shared" si="124"/>
        <v>20</v>
      </c>
      <c r="AE35" s="386">
        <f t="shared" si="124"/>
        <v>15</v>
      </c>
      <c r="AF35" s="981">
        <f t="shared" si="124"/>
        <v>71</v>
      </c>
      <c r="AG35" s="386">
        <f t="shared" si="124"/>
        <v>12</v>
      </c>
      <c r="AH35" s="386">
        <f t="shared" si="124"/>
        <v>19</v>
      </c>
      <c r="AI35" s="386">
        <f t="shared" si="124"/>
        <v>21</v>
      </c>
      <c r="AJ35" s="386">
        <f t="shared" si="124"/>
        <v>18</v>
      </c>
      <c r="AK35" s="981">
        <f t="shared" si="124"/>
        <v>70</v>
      </c>
      <c r="AL35" s="386">
        <f t="shared" si="124"/>
        <v>14</v>
      </c>
      <c r="AM35" s="386">
        <f t="shared" si="124"/>
        <v>11</v>
      </c>
      <c r="AN35" s="386">
        <f t="shared" si="124"/>
        <v>12</v>
      </c>
      <c r="AO35" s="386">
        <f t="shared" si="124"/>
        <v>10</v>
      </c>
      <c r="AP35" s="981">
        <f t="shared" si="124"/>
        <v>47</v>
      </c>
      <c r="AQ35" s="386">
        <f t="shared" si="124"/>
        <v>16</v>
      </c>
      <c r="AR35" s="386">
        <f t="shared" si="124"/>
        <v>26</v>
      </c>
      <c r="AS35" s="386">
        <f t="shared" si="124"/>
        <v>35</v>
      </c>
      <c r="AT35" s="386">
        <f t="shared" si="124"/>
        <v>34</v>
      </c>
      <c r="AU35" s="981">
        <f t="shared" si="124"/>
        <v>111</v>
      </c>
      <c r="AV35" s="386">
        <f t="shared" si="124"/>
        <v>-10</v>
      </c>
      <c r="AW35" s="386">
        <f t="shared" si="124"/>
        <v>24</v>
      </c>
      <c r="AX35" s="386">
        <f t="shared" si="124"/>
        <v>26</v>
      </c>
      <c r="AY35" s="467">
        <f>AZ35-SUM(AV35,AW35,AX35)</f>
        <v>136</v>
      </c>
      <c r="AZ35" s="982">
        <v>176</v>
      </c>
      <c r="BA35" s="386">
        <f t="shared" si="125" ref="BA35:BI35">BA308+BA309+BA310</f>
        <v>55</v>
      </c>
      <c r="BB35" s="386">
        <f t="shared" si="125"/>
        <v>37</v>
      </c>
      <c r="BC35" s="386">
        <f t="shared" si="125"/>
        <v>29</v>
      </c>
      <c r="BD35" s="386">
        <f t="shared" si="125"/>
        <v>62</v>
      </c>
      <c r="BE35" s="981">
        <f t="shared" si="125"/>
        <v>183</v>
      </c>
      <c r="BF35" s="386">
        <f t="shared" si="125"/>
        <v>39</v>
      </c>
      <c r="BG35" s="386">
        <f>BG308+BG309+BG310</f>
        <v>40</v>
      </c>
      <c r="BH35" s="739">
        <f>BH308+BH309+BH310</f>
        <v>59</v>
      </c>
      <c r="BI35" s="467">
        <f t="shared" si="125"/>
        <v>38.312021857923497</v>
      </c>
      <c r="BJ35" s="980">
        <f t="shared" si="96"/>
        <v>176.3120218579235</v>
      </c>
      <c r="BK35" s="467">
        <f>BK308+BK309+BK310</f>
        <v>37.504383561643834</v>
      </c>
      <c r="BL35" s="467">
        <f>BL308+BL309+BL310</f>
        <v>37.235150684931504</v>
      </c>
      <c r="BM35" s="467">
        <f>BM308+BM309+BM310</f>
        <v>36.955726027397262</v>
      </c>
      <c r="BN35" s="467">
        <f>BN308+BN309+BN310</f>
        <v>36.486904109589041</v>
      </c>
      <c r="BO35" s="980">
        <f t="shared" si="97"/>
        <v>148.18216438356166</v>
      </c>
      <c r="BP35" s="980">
        <f>BP308+BP309+BP310</f>
        <v>140.75999999999999</v>
      </c>
      <c r="BQ35" s="980">
        <f>BQ308+BQ309+BQ310</f>
        <v>133.31999999999999</v>
      </c>
      <c r="BR35" s="980">
        <f>BR308+BR309+BR310</f>
        <v>125.88</v>
      </c>
      <c r="BS35" s="305"/>
    </row>
    <row r="36" spans="1:71" s="300" customFormat="1" ht="15">
      <c r="A36" s="110" t="s">
        <v>622</v>
      </c>
      <c r="B36" s="126"/>
      <c r="C36" s="983"/>
      <c r="D36" s="983"/>
      <c r="E36" s="983"/>
      <c r="F36" s="983"/>
      <c r="G36" s="983"/>
      <c r="H36" s="468"/>
      <c r="I36" s="468"/>
      <c r="J36" s="468"/>
      <c r="K36" s="468"/>
      <c r="L36" s="983"/>
      <c r="M36" s="468"/>
      <c r="N36" s="468"/>
      <c r="O36" s="468"/>
      <c r="P36" s="468"/>
      <c r="Q36" s="983"/>
      <c r="R36" s="468"/>
      <c r="S36" s="468"/>
      <c r="T36" s="468"/>
      <c r="U36" s="468"/>
      <c r="V36" s="983"/>
      <c r="W36" s="893">
        <v>-28</v>
      </c>
      <c r="X36" s="893">
        <v>-28</v>
      </c>
      <c r="Y36" s="893">
        <v>-26</v>
      </c>
      <c r="Z36" s="388">
        <f>AA36-SUM(W36,X36,Y36)</f>
        <v>-28</v>
      </c>
      <c r="AA36" s="984">
        <v>-110</v>
      </c>
      <c r="AB36" s="893">
        <v>-29</v>
      </c>
      <c r="AC36" s="893">
        <v>-29</v>
      </c>
      <c r="AD36" s="893">
        <v>-31</v>
      </c>
      <c r="AE36" s="388">
        <f>AF36-SUM(AB36,AC36,AD36)</f>
        <v>-33</v>
      </c>
      <c r="AF36" s="984">
        <v>-122</v>
      </c>
      <c r="AG36" s="893">
        <v>-33</v>
      </c>
      <c r="AH36" s="893">
        <v>-33</v>
      </c>
      <c r="AI36" s="893">
        <v>-44</v>
      </c>
      <c r="AJ36" s="388">
        <f>AK36-SUM(AG36,AH36,AI36)</f>
        <v>-44</v>
      </c>
      <c r="AK36" s="984">
        <v>-154</v>
      </c>
      <c r="AL36" s="893">
        <v>-38</v>
      </c>
      <c r="AM36" s="893">
        <v>-35</v>
      </c>
      <c r="AN36" s="893">
        <v>-36</v>
      </c>
      <c r="AO36" s="388">
        <f>AP36-SUM(AL36,AM36,AN36)</f>
        <v>-38</v>
      </c>
      <c r="AP36" s="984">
        <v>-147</v>
      </c>
      <c r="AQ36" s="893">
        <v>-41</v>
      </c>
      <c r="AR36" s="893">
        <v>-46</v>
      </c>
      <c r="AS36" s="893">
        <v>-46</v>
      </c>
      <c r="AT36" s="388">
        <f>AU36-SUM(AQ36,AR36,AS36)</f>
        <v>-42</v>
      </c>
      <c r="AU36" s="984">
        <v>-175</v>
      </c>
      <c r="AV36" s="893">
        <v>-41</v>
      </c>
      <c r="AW36" s="893">
        <v>-38</v>
      </c>
      <c r="AX36" s="893">
        <v>-39</v>
      </c>
      <c r="AY36" s="468">
        <f>AZ36-SUM(AV36,AW36,AX36)</f>
        <v>-31</v>
      </c>
      <c r="AZ36" s="984">
        <v>-149</v>
      </c>
      <c r="BA36" s="893">
        <v>-33</v>
      </c>
      <c r="BB36" s="893">
        <v>-35</v>
      </c>
      <c r="BC36" s="893">
        <v>-34</v>
      </c>
      <c r="BD36" s="388">
        <f>BE36-SUM(BA36,BB36,BC36)</f>
        <v>-36</v>
      </c>
      <c r="BE36" s="985">
        <f>57094-SUM(BE30:BE35)</f>
        <v>-138</v>
      </c>
      <c r="BF36" s="893">
        <v>-35</v>
      </c>
      <c r="BG36" s="893">
        <v>-39</v>
      </c>
      <c r="BH36" s="895">
        <v>-49</v>
      </c>
      <c r="BI36" s="893">
        <v>-41</v>
      </c>
      <c r="BJ36" s="983">
        <f t="shared" si="96"/>
        <v>-164</v>
      </c>
      <c r="BK36" s="893">
        <v>-41</v>
      </c>
      <c r="BL36" s="893">
        <v>-41</v>
      </c>
      <c r="BM36" s="893">
        <v>-41</v>
      </c>
      <c r="BN36" s="893">
        <v>-41</v>
      </c>
      <c r="BO36" s="983">
        <f t="shared" si="97"/>
        <v>-164</v>
      </c>
      <c r="BP36" s="984">
        <v>-164</v>
      </c>
      <c r="BQ36" s="984">
        <v>-164</v>
      </c>
      <c r="BR36" s="984">
        <v>-164</v>
      </c>
      <c r="BS36" s="305"/>
    </row>
    <row r="37" spans="1:71" s="51" customFormat="1" ht="15">
      <c r="A37" s="109" t="s">
        <v>623</v>
      </c>
      <c r="B37" s="135"/>
      <c r="C37" s="986"/>
      <c r="D37" s="986"/>
      <c r="E37" s="986"/>
      <c r="F37" s="986"/>
      <c r="G37" s="986"/>
      <c r="H37" s="469"/>
      <c r="I37" s="469"/>
      <c r="J37" s="469"/>
      <c r="K37" s="469"/>
      <c r="L37" s="986"/>
      <c r="M37" s="469"/>
      <c r="N37" s="469"/>
      <c r="O37" s="469"/>
      <c r="P37" s="469"/>
      <c r="Q37" s="986"/>
      <c r="R37" s="469"/>
      <c r="S37" s="469"/>
      <c r="T37" s="469"/>
      <c r="U37" s="469"/>
      <c r="V37" s="986"/>
      <c r="W37" s="418">
        <f t="shared" si="126" ref="W37:AK37">SUM(W30:W36)</f>
        <v>9509</v>
      </c>
      <c r="X37" s="418">
        <f t="shared" si="126"/>
        <v>9728</v>
      </c>
      <c r="Y37" s="418">
        <f t="shared" si="126"/>
        <v>9806</v>
      </c>
      <c r="Z37" s="418">
        <f t="shared" si="126"/>
        <v>9969</v>
      </c>
      <c r="AA37" s="987">
        <f t="shared" si="126"/>
        <v>39012</v>
      </c>
      <c r="AB37" s="418">
        <f t="shared" si="126"/>
        <v>9866</v>
      </c>
      <c r="AC37" s="418">
        <f t="shared" si="126"/>
        <v>10125</v>
      </c>
      <c r="AD37" s="418">
        <f t="shared" si="126"/>
        <v>10339</v>
      </c>
      <c r="AE37" s="418">
        <f t="shared" si="126"/>
        <v>10162</v>
      </c>
      <c r="AF37" s="987">
        <f t="shared" si="126"/>
        <v>40492</v>
      </c>
      <c r="AG37" s="418">
        <f t="shared" si="126"/>
        <v>10491</v>
      </c>
      <c r="AH37" s="418">
        <f t="shared" si="126"/>
        <v>10880</v>
      </c>
      <c r="AI37" s="418">
        <f t="shared" si="126"/>
        <v>10903</v>
      </c>
      <c r="AJ37" s="418">
        <f t="shared" si="126"/>
        <v>10907</v>
      </c>
      <c r="AK37" s="987">
        <f t="shared" si="126"/>
        <v>43181</v>
      </c>
      <c r="AL37" s="418">
        <f>SUM(AL30:AL36)</f>
        <v>10232</v>
      </c>
      <c r="AM37" s="418">
        <f>SUM(AM30:AM36)</f>
        <v>10811</v>
      </c>
      <c r="AN37" s="418">
        <f>SUM(AN30:AN36)</f>
        <v>11226</v>
      </c>
      <c r="AO37" s="418">
        <f t="shared" si="127" ref="AO37:AP37">SUM(AO30:AO36)</f>
        <v>11594</v>
      </c>
      <c r="AP37" s="987">
        <f t="shared" si="127"/>
        <v>43742</v>
      </c>
      <c r="AQ37" s="418">
        <f t="shared" si="128" ref="AQ37:AV37">SUM(AQ30:AQ36)</f>
        <v>12451</v>
      </c>
      <c r="AR37" s="418">
        <f t="shared" si="128"/>
        <v>12646</v>
      </c>
      <c r="AS37" s="418">
        <f t="shared" si="128"/>
        <v>12480</v>
      </c>
      <c r="AT37" s="418">
        <f t="shared" si="128"/>
        <v>13011</v>
      </c>
      <c r="AU37" s="987">
        <f t="shared" si="128"/>
        <v>50588</v>
      </c>
      <c r="AV37" s="418">
        <f t="shared" si="128"/>
        <v>12336</v>
      </c>
      <c r="AW37" s="418">
        <f t="shared" si="129" ref="AW37:BJ37">SUM(AW30:AW36)</f>
        <v>12219</v>
      </c>
      <c r="AX37" s="418">
        <f t="shared" si="130" ref="AX37:BE37">SUM(AX30:AX36)</f>
        <v>13208</v>
      </c>
      <c r="AY37" s="418">
        <f t="shared" si="130"/>
        <v>13648</v>
      </c>
      <c r="AZ37" s="987">
        <f t="shared" si="130"/>
        <v>51411</v>
      </c>
      <c r="BA37" s="418">
        <f t="shared" si="130"/>
        <v>13786</v>
      </c>
      <c r="BB37" s="418">
        <f t="shared" si="130"/>
        <v>13979</v>
      </c>
      <c r="BC37" s="418">
        <f t="shared" si="130"/>
        <v>14497</v>
      </c>
      <c r="BD37" s="418">
        <f t="shared" si="130"/>
        <v>14832</v>
      </c>
      <c r="BE37" s="987">
        <f t="shared" si="130"/>
        <v>57094</v>
      </c>
      <c r="BF37" s="418">
        <f>SUM(BF30:BF36)</f>
        <v>15259</v>
      </c>
      <c r="BG37" s="418">
        <f>SUM(BG30:BG36)</f>
        <v>15713</v>
      </c>
      <c r="BH37" s="830">
        <f>SUM(BH30:BH36)</f>
        <v>16627</v>
      </c>
      <c r="BI37" s="469">
        <f>SUM(BI30:BI36)</f>
        <v>15537.731069726775</v>
      </c>
      <c r="BJ37" s="986">
        <f t="shared" si="129"/>
        <v>63136.731069726768</v>
      </c>
      <c r="BK37" s="469">
        <f t="shared" si="131" ref="BK37:BR37">SUM(BK30:BK36)</f>
        <v>15988.198508356165</v>
      </c>
      <c r="BL37" s="469">
        <f t="shared" si="131"/>
        <v>17169.117926890412</v>
      </c>
      <c r="BM37" s="469">
        <f t="shared" si="131"/>
        <v>17664.556640164381</v>
      </c>
      <c r="BN37" s="469">
        <f t="shared" si="131"/>
        <v>16639.120464461368</v>
      </c>
      <c r="BO37" s="986">
        <f t="shared" si="131"/>
        <v>67460.993539872332</v>
      </c>
      <c r="BP37" s="986">
        <f t="shared" si="131"/>
        <v>67889.720321944013</v>
      </c>
      <c r="BQ37" s="986">
        <f t="shared" si="131"/>
        <v>69730.125433422305</v>
      </c>
      <c r="BR37" s="986">
        <f t="shared" si="131"/>
        <v>71815.61977003995</v>
      </c>
      <c r="BS37" s="57"/>
    </row>
    <row r="38" spans="1:71" s="51" customFormat="1" ht="15">
      <c r="A38" s="480"/>
      <c r="B38" s="135"/>
      <c r="C38" s="986"/>
      <c r="D38" s="986"/>
      <c r="E38" s="986"/>
      <c r="F38" s="986"/>
      <c r="G38" s="986"/>
      <c r="H38" s="469"/>
      <c r="I38" s="469"/>
      <c r="J38" s="469"/>
      <c r="K38" s="469"/>
      <c r="L38" s="986"/>
      <c r="M38" s="469"/>
      <c r="N38" s="469"/>
      <c r="O38" s="469"/>
      <c r="P38" s="469"/>
      <c r="Q38" s="986"/>
      <c r="R38" s="469"/>
      <c r="S38" s="469"/>
      <c r="T38" s="469"/>
      <c r="U38" s="469"/>
      <c r="V38" s="986"/>
      <c r="W38" s="469"/>
      <c r="X38" s="469"/>
      <c r="Y38" s="469"/>
      <c r="Z38" s="469"/>
      <c r="AA38" s="986"/>
      <c r="AB38" s="469"/>
      <c r="AC38" s="469"/>
      <c r="AD38" s="469"/>
      <c r="AE38" s="469"/>
      <c r="AF38" s="986"/>
      <c r="AG38" s="469"/>
      <c r="AH38" s="469"/>
      <c r="AI38" s="469"/>
      <c r="AJ38" s="469"/>
      <c r="AK38" s="986"/>
      <c r="AL38" s="469"/>
      <c r="AM38" s="469"/>
      <c r="AN38" s="469"/>
      <c r="AO38" s="469"/>
      <c r="AP38" s="986"/>
      <c r="AQ38" s="469"/>
      <c r="AR38" s="469"/>
      <c r="AS38" s="469"/>
      <c r="AT38" s="469"/>
      <c r="AU38" s="986"/>
      <c r="AV38" s="469"/>
      <c r="AW38" s="469"/>
      <c r="AX38" s="469"/>
      <c r="AY38" s="469"/>
      <c r="AZ38" s="986"/>
      <c r="BA38" s="469"/>
      <c r="BB38" s="469"/>
      <c r="BC38" s="469"/>
      <c r="BD38" s="469"/>
      <c r="BE38" s="986"/>
      <c r="BF38" s="469"/>
      <c r="BG38" s="469"/>
      <c r="BH38" s="740"/>
      <c r="BI38" s="469"/>
      <c r="BJ38" s="986"/>
      <c r="BK38" s="469"/>
      <c r="BL38" s="469"/>
      <c r="BM38" s="469"/>
      <c r="BN38" s="469"/>
      <c r="BO38" s="986"/>
      <c r="BP38" s="986"/>
      <c r="BQ38" s="986"/>
      <c r="BR38" s="986"/>
      <c r="BS38" s="57"/>
    </row>
    <row r="39" spans="1:71" s="17" customFormat="1" ht="15">
      <c r="A39" s="818" t="s">
        <v>545</v>
      </c>
      <c r="B39" s="818"/>
      <c r="C39" s="837"/>
      <c r="D39" s="837"/>
      <c r="E39" s="837"/>
      <c r="F39" s="837"/>
      <c r="G39" s="837"/>
      <c r="H39" s="837"/>
      <c r="I39" s="837"/>
      <c r="J39" s="837"/>
      <c r="K39" s="837"/>
      <c r="L39" s="837"/>
      <c r="M39" s="837"/>
      <c r="N39" s="837"/>
      <c r="O39" s="837"/>
      <c r="P39" s="837"/>
      <c r="Q39" s="837"/>
      <c r="R39" s="837" t="s">
        <v>671</v>
      </c>
      <c r="S39" s="837" t="s">
        <v>671</v>
      </c>
      <c r="T39" s="837" t="s">
        <v>671</v>
      </c>
      <c r="U39" s="837" t="s">
        <v>671</v>
      </c>
      <c r="V39" s="837" t="s">
        <v>671</v>
      </c>
      <c r="W39" s="837"/>
      <c r="X39" s="837"/>
      <c r="Y39" s="837"/>
      <c r="Z39" s="837"/>
      <c r="AA39" s="837"/>
      <c r="AB39" s="837"/>
      <c r="AC39" s="837"/>
      <c r="AD39" s="837"/>
      <c r="AE39" s="837"/>
      <c r="AF39" s="837"/>
      <c r="AG39" s="837"/>
      <c r="AH39" s="837"/>
      <c r="AI39" s="837"/>
      <c r="AJ39" s="837"/>
      <c r="AK39" s="837"/>
      <c r="AL39" s="837"/>
      <c r="AM39" s="837"/>
      <c r="AN39" s="837"/>
      <c r="AO39" s="837"/>
      <c r="AP39" s="837"/>
      <c r="AQ39" s="837"/>
      <c r="AR39" s="837"/>
      <c r="AS39" s="837"/>
      <c r="AT39" s="837"/>
      <c r="AU39" s="837"/>
      <c r="AV39" s="837"/>
      <c r="AW39" s="837"/>
      <c r="AX39" s="837"/>
      <c r="AY39" s="837"/>
      <c r="AZ39" s="837"/>
      <c r="BA39" s="837"/>
      <c r="BB39" s="837"/>
      <c r="BC39" s="837"/>
      <c r="BD39" s="837"/>
      <c r="BE39" s="837"/>
      <c r="BF39" s="837"/>
      <c r="BG39" s="837"/>
      <c r="BH39" s="838"/>
      <c r="BI39" s="837"/>
      <c r="BJ39" s="837"/>
      <c r="BK39" s="837"/>
      <c r="BL39" s="837"/>
      <c r="BM39" s="837"/>
      <c r="BN39" s="837"/>
      <c r="BO39" s="837"/>
      <c r="BP39" s="837"/>
      <c r="BQ39" s="837"/>
      <c r="BR39" s="837"/>
      <c r="BS39" s="457"/>
    </row>
    <row r="40" spans="1:71" s="300" customFormat="1" ht="15">
      <c r="A40" s="408" t="s">
        <v>756</v>
      </c>
      <c r="B40" s="233"/>
      <c r="C40" s="988">
        <f>16563+949</f>
        <v>17512</v>
      </c>
      <c r="D40" s="988">
        <f>16486+889</f>
        <v>17375</v>
      </c>
      <c r="E40" s="988">
        <v>17264</v>
      </c>
      <c r="F40" s="988">
        <v>18040</v>
      </c>
      <c r="G40" s="988">
        <v>18701</v>
      </c>
      <c r="H40" s="897">
        <v>4847</v>
      </c>
      <c r="I40" s="897">
        <v>4889</v>
      </c>
      <c r="J40" s="897">
        <v>5071</v>
      </c>
      <c r="K40" s="897">
        <v>4861</v>
      </c>
      <c r="L40" s="988">
        <v>19668</v>
      </c>
      <c r="M40" s="897">
        <v>5116</v>
      </c>
      <c r="N40" s="897">
        <v>5124</v>
      </c>
      <c r="O40" s="897">
        <v>5326</v>
      </c>
      <c r="P40" s="897">
        <v>5096</v>
      </c>
      <c r="Q40" s="988">
        <v>20662</v>
      </c>
      <c r="R40" s="897">
        <v>5323</v>
      </c>
      <c r="S40" s="897">
        <v>5305</v>
      </c>
      <c r="T40" s="897">
        <v>5521</v>
      </c>
      <c r="U40" s="897">
        <v>5276</v>
      </c>
      <c r="V40" s="988">
        <v>21425</v>
      </c>
      <c r="W40" s="897">
        <v>5446</v>
      </c>
      <c r="X40" s="897">
        <v>5459</v>
      </c>
      <c r="Y40" s="897">
        <v>5664</v>
      </c>
      <c r="Z40" s="897">
        <v>5473</v>
      </c>
      <c r="AA40" s="988">
        <v>22042</v>
      </c>
      <c r="AB40" s="897">
        <v>5739</v>
      </c>
      <c r="AC40" s="897">
        <v>5787</v>
      </c>
      <c r="AD40" s="897">
        <v>5987</v>
      </c>
      <c r="AE40" s="897">
        <v>5854</v>
      </c>
      <c r="AF40" s="988">
        <v>23367</v>
      </c>
      <c r="AG40" s="897">
        <v>6047</v>
      </c>
      <c r="AH40" s="897">
        <v>6087</v>
      </c>
      <c r="AI40" s="897">
        <v>6271</v>
      </c>
      <c r="AJ40" s="897">
        <v>6057</v>
      </c>
      <c r="AK40" s="988">
        <v>24462</v>
      </c>
      <c r="AL40" s="897">
        <v>6209</v>
      </c>
      <c r="AM40" s="897">
        <v>6190</v>
      </c>
      <c r="AN40" s="897">
        <v>6326</v>
      </c>
      <c r="AO40" s="897">
        <v>5886</v>
      </c>
      <c r="AP40" s="988">
        <v>24611</v>
      </c>
      <c r="AQ40" s="897">
        <v>7012</v>
      </c>
      <c r="AR40" s="897">
        <v>6818</v>
      </c>
      <c r="AS40" s="897">
        <v>7171</v>
      </c>
      <c r="AT40" s="92">
        <f>AU40-AQ40-AR40-AS40</f>
        <v>6864</v>
      </c>
      <c r="AU40" s="988">
        <v>27865</v>
      </c>
      <c r="AV40" s="897">
        <v>7562</v>
      </c>
      <c r="AW40" s="897">
        <v>7470</v>
      </c>
      <c r="AX40" s="897">
        <v>7860</v>
      </c>
      <c r="AY40" s="92">
        <f>AZ40-AV40-AW40-AX40</f>
        <v>7774</v>
      </c>
      <c r="AZ40" s="988">
        <v>30666</v>
      </c>
      <c r="BA40" s="897">
        <v>8349</v>
      </c>
      <c r="BB40" s="897">
        <v>8269</v>
      </c>
      <c r="BC40" s="897">
        <v>8770</v>
      </c>
      <c r="BD40" s="92">
        <f>BE40-BA40-BB40-BC40</f>
        <v>8570</v>
      </c>
      <c r="BE40" s="988">
        <v>33958</v>
      </c>
      <c r="BF40" s="897">
        <v>9357</v>
      </c>
      <c r="BG40" s="897">
        <v>9284</v>
      </c>
      <c r="BH40" s="898">
        <v>9539</v>
      </c>
      <c r="BI40" s="92">
        <f t="shared" si="132" ref="BI40:BI43">BD40*(1+BI7)</f>
        <v>8398.60</v>
      </c>
      <c r="BJ40" s="989">
        <f>SUM(BF40,BG40,BH40,BI40)</f>
        <v>36578.599999999999</v>
      </c>
      <c r="BK40" s="92">
        <f t="shared" si="133" ref="BK40:BN43">BF40*(1+BK7)</f>
        <v>10292.700000000001</v>
      </c>
      <c r="BL40" s="92">
        <f t="shared" si="133"/>
        <v>10212.400000000001</v>
      </c>
      <c r="BM40" s="92">
        <f t="shared" si="133"/>
        <v>10492.900000000001</v>
      </c>
      <c r="BN40" s="92">
        <f t="shared" si="133"/>
        <v>9238.4600000000009</v>
      </c>
      <c r="BO40" s="989">
        <f>SUM(BK40,BL40,BM40,BN40)</f>
        <v>40236.460000000006</v>
      </c>
      <c r="BP40" s="989">
        <f t="shared" si="134" ref="BP40:BR43">BO40*(1+BP7)</f>
        <v>41443.553800000009</v>
      </c>
      <c r="BQ40" s="989">
        <f t="shared" si="134"/>
        <v>42686.86041400001</v>
      </c>
      <c r="BR40" s="989">
        <f t="shared" si="134"/>
        <v>43967.466226420009</v>
      </c>
      <c r="BS40" s="305"/>
    </row>
    <row r="41" spans="1:71" s="300" customFormat="1" ht="15">
      <c r="A41" s="408" t="s">
        <v>757</v>
      </c>
      <c r="B41" s="233"/>
      <c r="C41" s="988">
        <v>6043</v>
      </c>
      <c r="D41" s="988">
        <v>6110</v>
      </c>
      <c r="E41" s="988">
        <v>6255</v>
      </c>
      <c r="F41" s="988">
        <v>6458</v>
      </c>
      <c r="G41" s="988">
        <v>6750</v>
      </c>
      <c r="H41" s="897">
        <v>1453</v>
      </c>
      <c r="I41" s="897">
        <v>1902</v>
      </c>
      <c r="J41" s="897">
        <v>1971</v>
      </c>
      <c r="K41" s="897">
        <v>1725</v>
      </c>
      <c r="L41" s="988">
        <v>7051</v>
      </c>
      <c r="M41" s="897">
        <v>1495</v>
      </c>
      <c r="N41" s="897">
        <v>1962</v>
      </c>
      <c r="O41" s="897">
        <v>2022</v>
      </c>
      <c r="P41" s="897">
        <v>1759</v>
      </c>
      <c r="Q41" s="988">
        <v>7238</v>
      </c>
      <c r="R41" s="897">
        <v>1507</v>
      </c>
      <c r="S41" s="897">
        <v>1971</v>
      </c>
      <c r="T41" s="897">
        <v>2006</v>
      </c>
      <c r="U41" s="897">
        <v>1756</v>
      </c>
      <c r="V41" s="988">
        <v>7240</v>
      </c>
      <c r="W41" s="897">
        <v>1510</v>
      </c>
      <c r="X41" s="897">
        <v>1979</v>
      </c>
      <c r="Y41" s="897">
        <v>2053</v>
      </c>
      <c r="Z41" s="897">
        <v>1808</v>
      </c>
      <c r="AA41" s="988">
        <v>7350</v>
      </c>
      <c r="AB41" s="897">
        <v>1572</v>
      </c>
      <c r="AC41" s="897">
        <v>2084</v>
      </c>
      <c r="AD41" s="897">
        <v>2144</v>
      </c>
      <c r="AE41" s="897">
        <v>1898</v>
      </c>
      <c r="AF41" s="988">
        <v>7698</v>
      </c>
      <c r="AG41" s="897">
        <v>1676</v>
      </c>
      <c r="AH41" s="897">
        <v>2219</v>
      </c>
      <c r="AI41" s="897">
        <v>2288</v>
      </c>
      <c r="AJ41" s="897">
        <v>1982</v>
      </c>
      <c r="AK41" s="988">
        <v>8165</v>
      </c>
      <c r="AL41" s="897">
        <v>1732</v>
      </c>
      <c r="AM41" s="897">
        <v>2284</v>
      </c>
      <c r="AN41" s="897">
        <v>2339</v>
      </c>
      <c r="AO41" s="897">
        <v>2045</v>
      </c>
      <c r="AP41" s="988">
        <v>8400</v>
      </c>
      <c r="AQ41" s="897">
        <v>2083</v>
      </c>
      <c r="AR41" s="897">
        <v>2722</v>
      </c>
      <c r="AS41" s="897">
        <v>3004</v>
      </c>
      <c r="AT41" s="92">
        <f>AU41-AQ41-AR41-AS41</f>
        <v>2680</v>
      </c>
      <c r="AU41" s="988">
        <v>10489</v>
      </c>
      <c r="AV41" s="897">
        <v>2401</v>
      </c>
      <c r="AW41" s="897">
        <v>3133</v>
      </c>
      <c r="AX41" s="897">
        <v>3286</v>
      </c>
      <c r="AY41" s="92">
        <f>AZ41-AV41-AW41-AX41</f>
        <v>2928</v>
      </c>
      <c r="AZ41" s="988">
        <v>11748</v>
      </c>
      <c r="BA41" s="897">
        <v>2534</v>
      </c>
      <c r="BB41" s="897">
        <v>3381</v>
      </c>
      <c r="BC41" s="897">
        <v>3525</v>
      </c>
      <c r="BD41" s="92">
        <f>BE41-BA41-BB41-BC41</f>
        <v>3144</v>
      </c>
      <c r="BE41" s="988">
        <v>12584</v>
      </c>
      <c r="BF41" s="897">
        <v>2874</v>
      </c>
      <c r="BG41" s="897">
        <v>3845</v>
      </c>
      <c r="BH41" s="898">
        <v>4073</v>
      </c>
      <c r="BI41" s="92">
        <f t="shared" si="132"/>
        <v>2986.7999999999997</v>
      </c>
      <c r="BJ41" s="989">
        <f>SUM(BF41,BG41,BH41,BI41)</f>
        <v>13778.80</v>
      </c>
      <c r="BK41" s="92">
        <f t="shared" si="133"/>
        <v>3017.7000000000003</v>
      </c>
      <c r="BL41" s="92">
        <f t="shared" si="133"/>
        <v>4037.25</v>
      </c>
      <c r="BM41" s="92">
        <f t="shared" si="133"/>
        <v>4276.6500000000005</v>
      </c>
      <c r="BN41" s="92">
        <f t="shared" si="133"/>
        <v>3136.14</v>
      </c>
      <c r="BO41" s="989">
        <f>SUM(BK41,BL41,BM41,BN41)</f>
        <v>14467.740000000002</v>
      </c>
      <c r="BP41" s="989">
        <f t="shared" si="134"/>
        <v>14901.772200000001</v>
      </c>
      <c r="BQ41" s="989">
        <f t="shared" si="134"/>
        <v>15348.825366000001</v>
      </c>
      <c r="BR41" s="989">
        <f t="shared" si="134"/>
        <v>15809.290126980002</v>
      </c>
      <c r="BS41" s="305"/>
    </row>
    <row r="42" spans="1:71" s="300" customFormat="1" ht="15">
      <c r="A42" s="408" t="s">
        <v>758</v>
      </c>
      <c r="B42" s="233"/>
      <c r="C42" s="988">
        <v>2417</v>
      </c>
      <c r="D42" s="988">
        <v>2421</v>
      </c>
      <c r="E42" s="988">
        <v>1574</v>
      </c>
      <c r="F42" s="988">
        <v>1612</v>
      </c>
      <c r="G42" s="988">
        <v>1645</v>
      </c>
      <c r="H42" s="897">
        <v>377</v>
      </c>
      <c r="I42" s="897">
        <v>446</v>
      </c>
      <c r="J42" s="897">
        <v>456</v>
      </c>
      <c r="K42" s="897">
        <v>404</v>
      </c>
      <c r="L42" s="988">
        <v>1683</v>
      </c>
      <c r="M42" s="897">
        <v>383</v>
      </c>
      <c r="N42" s="897">
        <v>454</v>
      </c>
      <c r="O42" s="897">
        <v>460</v>
      </c>
      <c r="P42" s="897">
        <v>402</v>
      </c>
      <c r="Q42" s="988">
        <v>1699</v>
      </c>
      <c r="R42" s="897">
        <v>376</v>
      </c>
      <c r="S42" s="897">
        <v>457</v>
      </c>
      <c r="T42" s="897">
        <v>474</v>
      </c>
      <c r="U42" s="897">
        <v>417</v>
      </c>
      <c r="V42" s="988">
        <v>1724</v>
      </c>
      <c r="W42" s="897">
        <v>390</v>
      </c>
      <c r="X42" s="897">
        <v>468</v>
      </c>
      <c r="Y42" s="897">
        <v>478</v>
      </c>
      <c r="Z42" s="897">
        <v>432</v>
      </c>
      <c r="AA42" s="988">
        <v>1768</v>
      </c>
      <c r="AB42" s="897">
        <v>396</v>
      </c>
      <c r="AC42" s="897">
        <v>498</v>
      </c>
      <c r="AD42" s="897">
        <v>496</v>
      </c>
      <c r="AE42" s="897">
        <v>441</v>
      </c>
      <c r="AF42" s="988">
        <v>1831</v>
      </c>
      <c r="AG42" s="897">
        <v>419</v>
      </c>
      <c r="AH42" s="897">
        <v>501</v>
      </c>
      <c r="AI42" s="897">
        <v>515</v>
      </c>
      <c r="AJ42" s="897">
        <v>455</v>
      </c>
      <c r="AK42" s="988">
        <v>1890</v>
      </c>
      <c r="AL42" s="897">
        <v>430</v>
      </c>
      <c r="AM42" s="897">
        <v>528</v>
      </c>
      <c r="AN42" s="897">
        <v>542</v>
      </c>
      <c r="AO42" s="897">
        <v>465</v>
      </c>
      <c r="AP42" s="988">
        <v>1965</v>
      </c>
      <c r="AQ42" s="897">
        <v>476</v>
      </c>
      <c r="AR42" s="897">
        <v>579</v>
      </c>
      <c r="AS42" s="897">
        <v>584</v>
      </c>
      <c r="AT42" s="92">
        <f>AU42-AQ42-AR42-AS42</f>
        <v>517</v>
      </c>
      <c r="AU42" s="988">
        <v>2156</v>
      </c>
      <c r="AV42" s="897">
        <v>504</v>
      </c>
      <c r="AW42" s="897">
        <v>609</v>
      </c>
      <c r="AX42" s="897">
        <v>606</v>
      </c>
      <c r="AY42" s="92">
        <f>AZ42-AV42-AW42-AX42</f>
        <v>530</v>
      </c>
      <c r="AZ42" s="988">
        <v>2249</v>
      </c>
      <c r="BA42" s="897">
        <v>548</v>
      </c>
      <c r="BB42" s="897">
        <v>675</v>
      </c>
      <c r="BC42" s="897">
        <v>676</v>
      </c>
      <c r="BD42" s="92">
        <f>BE42-BA42-BB42-BC42</f>
        <v>620</v>
      </c>
      <c r="BE42" s="988">
        <v>2519</v>
      </c>
      <c r="BF42" s="897">
        <v>660</v>
      </c>
      <c r="BG42" s="897">
        <v>845</v>
      </c>
      <c r="BH42" s="898">
        <v>817</v>
      </c>
      <c r="BI42" s="92">
        <f t="shared" si="132"/>
        <v>589</v>
      </c>
      <c r="BJ42" s="989">
        <f>SUM(BF42,BG42,BH42,BI42)</f>
        <v>2911</v>
      </c>
      <c r="BK42" s="92">
        <f t="shared" si="133"/>
        <v>693</v>
      </c>
      <c r="BL42" s="92">
        <f t="shared" si="133"/>
        <v>887.25</v>
      </c>
      <c r="BM42" s="92">
        <f t="shared" si="133"/>
        <v>857.85</v>
      </c>
      <c r="BN42" s="92">
        <f t="shared" si="133"/>
        <v>618.45000000000005</v>
      </c>
      <c r="BO42" s="989">
        <f>SUM(BK42,BL42,BM42,BN42)</f>
        <v>3056.55</v>
      </c>
      <c r="BP42" s="989">
        <f t="shared" si="134"/>
        <v>3148.2465000000002</v>
      </c>
      <c r="BQ42" s="989">
        <f t="shared" si="134"/>
        <v>3242.6938950000003</v>
      </c>
      <c r="BR42" s="989">
        <f t="shared" si="134"/>
        <v>3339.9747118500004</v>
      </c>
      <c r="BS42" s="305"/>
    </row>
    <row r="43" spans="1:71" s="300" customFormat="1" ht="15">
      <c r="A43" s="408" t="s">
        <v>759</v>
      </c>
      <c r="B43" s="233"/>
      <c r="C43" s="988">
        <v>0</v>
      </c>
      <c r="D43" s="988">
        <v>0</v>
      </c>
      <c r="E43" s="988">
        <v>472</v>
      </c>
      <c r="F43" s="988">
        <v>454</v>
      </c>
      <c r="G43" s="988">
        <v>466</v>
      </c>
      <c r="H43" s="897">
        <v>116</v>
      </c>
      <c r="I43" s="897">
        <v>130</v>
      </c>
      <c r="J43" s="897">
        <v>122</v>
      </c>
      <c r="K43" s="897">
        <v>126</v>
      </c>
      <c r="L43" s="988">
        <v>494</v>
      </c>
      <c r="M43" s="897">
        <v>128</v>
      </c>
      <c r="N43" s="897">
        <v>138</v>
      </c>
      <c r="O43" s="897">
        <v>124</v>
      </c>
      <c r="P43" s="897">
        <v>126</v>
      </c>
      <c r="Q43" s="988">
        <v>516</v>
      </c>
      <c r="R43" s="897">
        <v>126</v>
      </c>
      <c r="S43" s="897">
        <v>135</v>
      </c>
      <c r="T43" s="897">
        <v>123</v>
      </c>
      <c r="U43" s="897">
        <v>115</v>
      </c>
      <c r="V43" s="988">
        <v>499</v>
      </c>
      <c r="W43" s="897">
        <v>123</v>
      </c>
      <c r="X43" s="897">
        <v>124</v>
      </c>
      <c r="Y43" s="897">
        <v>116</v>
      </c>
      <c r="Z43" s="897">
        <v>125</v>
      </c>
      <c r="AA43" s="988">
        <v>488</v>
      </c>
      <c r="AB43" s="897">
        <v>137</v>
      </c>
      <c r="AC43" s="897">
        <v>172</v>
      </c>
      <c r="AD43" s="897">
        <v>173</v>
      </c>
      <c r="AE43" s="897">
        <v>177</v>
      </c>
      <c r="AF43" s="988">
        <v>659</v>
      </c>
      <c r="AG43" s="897">
        <v>185</v>
      </c>
      <c r="AH43" s="897">
        <v>236</v>
      </c>
      <c r="AI43" s="897">
        <v>238</v>
      </c>
      <c r="AJ43" s="897">
        <v>243</v>
      </c>
      <c r="AK43" s="988">
        <v>902</v>
      </c>
      <c r="AL43" s="897">
        <v>221</v>
      </c>
      <c r="AM43" s="897">
        <v>170</v>
      </c>
      <c r="AN43" s="897">
        <v>188</v>
      </c>
      <c r="AO43" s="897">
        <v>213</v>
      </c>
      <c r="AP43" s="988">
        <v>792</v>
      </c>
      <c r="AQ43" s="897">
        <v>197</v>
      </c>
      <c r="AR43" s="897">
        <v>204</v>
      </c>
      <c r="AS43" s="897">
        <v>207</v>
      </c>
      <c r="AT43" s="92">
        <f>AU43-AQ43-AR43-AS43</f>
        <v>240</v>
      </c>
      <c r="AU43" s="988">
        <v>848</v>
      </c>
      <c r="AV43" s="897">
        <v>294</v>
      </c>
      <c r="AW43" s="897">
        <v>297</v>
      </c>
      <c r="AX43" s="897">
        <v>285</v>
      </c>
      <c r="AY43" s="92">
        <f>AZ43-AV43-AW43-AX43</f>
        <v>248</v>
      </c>
      <c r="AZ43" s="988">
        <v>1124</v>
      </c>
      <c r="BA43" s="897">
        <v>227</v>
      </c>
      <c r="BB43" s="897">
        <v>200</v>
      </c>
      <c r="BC43" s="897">
        <v>140</v>
      </c>
      <c r="BD43" s="92">
        <f>BE43-BA43-BB43-BC43</f>
        <v>153</v>
      </c>
      <c r="BE43" s="988">
        <v>720</v>
      </c>
      <c r="BF43" s="897">
        <v>157</v>
      </c>
      <c r="BG43" s="897">
        <v>150</v>
      </c>
      <c r="BH43" s="898">
        <v>104</v>
      </c>
      <c r="BI43" s="92">
        <f t="shared" si="132"/>
        <v>154.53</v>
      </c>
      <c r="BJ43" s="989">
        <f>SUM(BF43,BG43,BH43,BI43)</f>
        <v>565.53</v>
      </c>
      <c r="BK43" s="92">
        <f t="shared" si="133"/>
        <v>164.85</v>
      </c>
      <c r="BL43" s="92">
        <f t="shared" si="133"/>
        <v>157.50</v>
      </c>
      <c r="BM43" s="92">
        <f t="shared" si="133"/>
        <v>109.20</v>
      </c>
      <c r="BN43" s="92">
        <f t="shared" si="133"/>
        <v>162.25650000000002</v>
      </c>
      <c r="BO43" s="989">
        <f>SUM(BK43,BL43,BM43,BN43)</f>
        <v>593.80650000000003</v>
      </c>
      <c r="BP43" s="989">
        <f t="shared" si="134"/>
        <v>611.62069500000007</v>
      </c>
      <c r="BQ43" s="989">
        <f t="shared" si="134"/>
        <v>629.96931585000004</v>
      </c>
      <c r="BR43" s="989">
        <f t="shared" si="134"/>
        <v>648.86839532550005</v>
      </c>
      <c r="BS43" s="305"/>
    </row>
    <row r="44" spans="1:71" s="300" customFormat="1" ht="15">
      <c r="A44" s="408" t="s">
        <v>794</v>
      </c>
      <c r="B44" s="233"/>
      <c r="C44" s="988">
        <v>0</v>
      </c>
      <c r="D44" s="988">
        <v>0</v>
      </c>
      <c r="E44" s="988">
        <v>416</v>
      </c>
      <c r="F44" s="988">
        <v>462</v>
      </c>
      <c r="G44" s="988">
        <v>602</v>
      </c>
      <c r="H44" s="897">
        <v>176</v>
      </c>
      <c r="I44" s="897">
        <v>180</v>
      </c>
      <c r="J44" s="897">
        <v>185</v>
      </c>
      <c r="K44" s="92">
        <f>L44-H44-I44-J44</f>
        <v>176</v>
      </c>
      <c r="L44" s="988">
        <v>717</v>
      </c>
      <c r="M44" s="897">
        <v>184</v>
      </c>
      <c r="N44" s="897">
        <v>199</v>
      </c>
      <c r="O44" s="897">
        <v>205</v>
      </c>
      <c r="P44" s="92">
        <f>Q44-M44-N44-O44</f>
        <v>168</v>
      </c>
      <c r="Q44" s="988">
        <v>756</v>
      </c>
      <c r="R44" s="92"/>
      <c r="S44" s="92"/>
      <c r="T44" s="92"/>
      <c r="U44" s="92"/>
      <c r="V44" s="989"/>
      <c r="W44" s="92"/>
      <c r="X44" s="92"/>
      <c r="Y44" s="92"/>
      <c r="Z44" s="92"/>
      <c r="AA44" s="989"/>
      <c r="AB44" s="92"/>
      <c r="AC44" s="92"/>
      <c r="AD44" s="92"/>
      <c r="AE44" s="92"/>
      <c r="AF44" s="989"/>
      <c r="AG44" s="92"/>
      <c r="AH44" s="92"/>
      <c r="AI44" s="92"/>
      <c r="AJ44" s="92"/>
      <c r="AK44" s="989"/>
      <c r="AL44" s="92"/>
      <c r="AM44" s="92"/>
      <c r="AN44" s="92"/>
      <c r="AO44" s="92"/>
      <c r="AP44" s="989"/>
      <c r="AQ44" s="92"/>
      <c r="AR44" s="92"/>
      <c r="AS44" s="92"/>
      <c r="AT44" s="92"/>
      <c r="AU44" s="989"/>
      <c r="AV44" s="92"/>
      <c r="AW44" s="92"/>
      <c r="AX44" s="92"/>
      <c r="AY44" s="92"/>
      <c r="AZ44" s="989"/>
      <c r="BA44" s="897">
        <v>125</v>
      </c>
      <c r="BB44" s="897">
        <v>95</v>
      </c>
      <c r="BC44" s="897">
        <v>193</v>
      </c>
      <c r="BD44" s="92">
        <f>BE44-BA44-BB44-BC44</f>
        <v>153</v>
      </c>
      <c r="BE44" s="990">
        <v>566</v>
      </c>
      <c r="BF44" s="897">
        <v>135</v>
      </c>
      <c r="BG44" s="897">
        <v>155</v>
      </c>
      <c r="BH44" s="898">
        <v>174</v>
      </c>
      <c r="BI44" s="897">
        <v>125</v>
      </c>
      <c r="BJ44" s="989">
        <f>SUM(BF44,BG44,BH44,BI44)</f>
        <v>589</v>
      </c>
      <c r="BK44" s="897">
        <v>125</v>
      </c>
      <c r="BL44" s="897">
        <v>125</v>
      </c>
      <c r="BM44" s="897">
        <v>125</v>
      </c>
      <c r="BN44" s="897">
        <v>125</v>
      </c>
      <c r="BO44" s="989">
        <f>SUM(BK44,BL44,BM44,BN44)</f>
        <v>500</v>
      </c>
      <c r="BP44" s="988">
        <v>500</v>
      </c>
      <c r="BQ44" s="988">
        <v>500</v>
      </c>
      <c r="BR44" s="988">
        <v>500</v>
      </c>
      <c r="BS44" s="305"/>
    </row>
    <row r="45" spans="1:71" s="300" customFormat="1" ht="15">
      <c r="A45" s="348" t="s">
        <v>334</v>
      </c>
      <c r="B45" s="481"/>
      <c r="C45" s="991">
        <f>SUM(C40:C44)</f>
        <v>25972</v>
      </c>
      <c r="D45" s="991">
        <f t="shared" si="135" ref="D45:AQ45">SUM(D40:D44)</f>
        <v>25906</v>
      </c>
      <c r="E45" s="992">
        <f t="shared" si="135"/>
        <v>25981</v>
      </c>
      <c r="F45" s="992">
        <f t="shared" si="135"/>
        <v>27026</v>
      </c>
      <c r="G45" s="992">
        <f t="shared" si="135"/>
        <v>28164</v>
      </c>
      <c r="H45" s="116">
        <f t="shared" si="135"/>
        <v>6969</v>
      </c>
      <c r="I45" s="116">
        <f t="shared" si="135"/>
        <v>7547</v>
      </c>
      <c r="J45" s="116">
        <f t="shared" si="135"/>
        <v>7805</v>
      </c>
      <c r="K45" s="116">
        <f t="shared" si="135"/>
        <v>7292</v>
      </c>
      <c r="L45" s="992">
        <f t="shared" si="135"/>
        <v>29613</v>
      </c>
      <c r="M45" s="116">
        <f t="shared" si="135"/>
        <v>7306</v>
      </c>
      <c r="N45" s="116">
        <f t="shared" si="135"/>
        <v>7877</v>
      </c>
      <c r="O45" s="116">
        <f t="shared" si="135"/>
        <v>8137</v>
      </c>
      <c r="P45" s="116">
        <f t="shared" si="135"/>
        <v>7551</v>
      </c>
      <c r="Q45" s="992">
        <f t="shared" si="135"/>
        <v>30871</v>
      </c>
      <c r="R45" s="116">
        <f t="shared" si="135"/>
        <v>7332</v>
      </c>
      <c r="S45" s="116">
        <f t="shared" si="135"/>
        <v>7868</v>
      </c>
      <c r="T45" s="116">
        <f t="shared" si="135"/>
        <v>8124</v>
      </c>
      <c r="U45" s="116">
        <f t="shared" si="135"/>
        <v>7564</v>
      </c>
      <c r="V45" s="992">
        <f t="shared" si="135"/>
        <v>30888</v>
      </c>
      <c r="W45" s="116">
        <f t="shared" si="135"/>
        <v>7469</v>
      </c>
      <c r="X45" s="116">
        <f t="shared" si="135"/>
        <v>8030</v>
      </c>
      <c r="Y45" s="116">
        <f t="shared" si="135"/>
        <v>8311</v>
      </c>
      <c r="Z45" s="116">
        <f t="shared" si="135"/>
        <v>7838</v>
      </c>
      <c r="AA45" s="992">
        <f t="shared" si="135"/>
        <v>31648</v>
      </c>
      <c r="AB45" s="116">
        <f t="shared" si="135"/>
        <v>7844</v>
      </c>
      <c r="AC45" s="116">
        <f t="shared" si="135"/>
        <v>8541</v>
      </c>
      <c r="AD45" s="116">
        <f t="shared" si="135"/>
        <v>8800</v>
      </c>
      <c r="AE45" s="116">
        <f t="shared" si="135"/>
        <v>8370</v>
      </c>
      <c r="AF45" s="992">
        <f t="shared" si="135"/>
        <v>33555</v>
      </c>
      <c r="AG45" s="116">
        <f t="shared" si="135"/>
        <v>8327</v>
      </c>
      <c r="AH45" s="116">
        <f t="shared" si="135"/>
        <v>9043</v>
      </c>
      <c r="AI45" s="116">
        <f t="shared" si="135"/>
        <v>9312</v>
      </c>
      <c r="AJ45" s="116">
        <f t="shared" si="135"/>
        <v>8737</v>
      </c>
      <c r="AK45" s="992">
        <f t="shared" si="135"/>
        <v>35419</v>
      </c>
      <c r="AL45" s="116">
        <f t="shared" si="135"/>
        <v>8592</v>
      </c>
      <c r="AM45" s="116">
        <f t="shared" si="135"/>
        <v>9172</v>
      </c>
      <c r="AN45" s="116">
        <f t="shared" si="135"/>
        <v>9395</v>
      </c>
      <c r="AO45" s="116">
        <f t="shared" si="135"/>
        <v>8609</v>
      </c>
      <c r="AP45" s="992">
        <f t="shared" si="135"/>
        <v>35768</v>
      </c>
      <c r="AQ45" s="116">
        <f t="shared" si="135"/>
        <v>9768</v>
      </c>
      <c r="AR45" s="116">
        <f t="shared" si="136" ref="AR45:AW45">SUM(AR40:AR44)</f>
        <v>10323</v>
      </c>
      <c r="AS45" s="116">
        <f t="shared" si="136"/>
        <v>10966</v>
      </c>
      <c r="AT45" s="116">
        <f t="shared" si="136"/>
        <v>10301</v>
      </c>
      <c r="AU45" s="992">
        <f t="shared" si="136"/>
        <v>41358</v>
      </c>
      <c r="AV45" s="116">
        <f t="shared" si="136"/>
        <v>10761</v>
      </c>
      <c r="AW45" s="116">
        <f t="shared" si="136"/>
        <v>11509</v>
      </c>
      <c r="AX45" s="116">
        <f t="shared" si="137" ref="AX45:BJ45">SUM(AX40:AX44)</f>
        <v>12037</v>
      </c>
      <c r="AY45" s="116">
        <f t="shared" si="137"/>
        <v>11480</v>
      </c>
      <c r="AZ45" s="992">
        <f t="shared" si="137"/>
        <v>45787</v>
      </c>
      <c r="BA45" s="116">
        <f t="shared" si="138" ref="BA45:BI45">SUM(BA40:BA44)</f>
        <v>11783</v>
      </c>
      <c r="BB45" s="116">
        <f t="shared" si="138"/>
        <v>12620</v>
      </c>
      <c r="BC45" s="116">
        <f t="shared" si="138"/>
        <v>13304</v>
      </c>
      <c r="BD45" s="116">
        <f t="shared" si="138"/>
        <v>12640</v>
      </c>
      <c r="BE45" s="993">
        <f t="shared" si="138"/>
        <v>50347</v>
      </c>
      <c r="BF45" s="116">
        <f>SUM(BF40:BF44)</f>
        <v>13183</v>
      </c>
      <c r="BG45" s="116">
        <f>SUM(BG40:BG44)</f>
        <v>14279</v>
      </c>
      <c r="BH45" s="741">
        <f>SUM(BH40:BH44)</f>
        <v>14707</v>
      </c>
      <c r="BI45" s="239">
        <f t="shared" si="138"/>
        <v>12253.93</v>
      </c>
      <c r="BJ45" s="994">
        <f t="shared" si="137"/>
        <v>54422.929999999993</v>
      </c>
      <c r="BK45" s="239">
        <f t="shared" si="139" ref="BK45:BR45">SUM(BK40:BK44)</f>
        <v>14293.250000000002</v>
      </c>
      <c r="BL45" s="239">
        <f t="shared" si="139"/>
        <v>15419.40</v>
      </c>
      <c r="BM45" s="239">
        <f t="shared" si="139"/>
        <v>15861.600000000004</v>
      </c>
      <c r="BN45" s="239">
        <f t="shared" si="139"/>
        <v>13280.306500000001</v>
      </c>
      <c r="BO45" s="994">
        <f t="shared" si="139"/>
        <v>58854.556500000013</v>
      </c>
      <c r="BP45" s="994">
        <f t="shared" si="139"/>
        <v>60605.193195000007</v>
      </c>
      <c r="BQ45" s="994">
        <f t="shared" si="139"/>
        <v>62408.34899085002</v>
      </c>
      <c r="BR45" s="994">
        <f t="shared" si="139"/>
        <v>64265.599460575511</v>
      </c>
      <c r="BS45" s="305"/>
    </row>
    <row r="46" spans="1:71" s="300" customFormat="1" ht="15">
      <c r="A46" s="110" t="s">
        <v>749</v>
      </c>
      <c r="B46" s="113"/>
      <c r="C46" s="990">
        <v>-1</v>
      </c>
      <c r="D46" s="990">
        <v>1</v>
      </c>
      <c r="E46" s="990">
        <v>-1</v>
      </c>
      <c r="F46" s="990">
        <v>1</v>
      </c>
      <c r="G46" s="990">
        <v>0</v>
      </c>
      <c r="H46" s="900">
        <v>0</v>
      </c>
      <c r="I46" s="900">
        <v>0</v>
      </c>
      <c r="J46" s="900">
        <v>1</v>
      </c>
      <c r="K46" s="900">
        <v>0</v>
      </c>
      <c r="L46" s="990">
        <v>1</v>
      </c>
      <c r="M46" s="900">
        <v>0</v>
      </c>
      <c r="N46" s="900">
        <v>0</v>
      </c>
      <c r="O46" s="900">
        <v>0</v>
      </c>
      <c r="P46" s="900">
        <v>0</v>
      </c>
      <c r="Q46" s="990">
        <v>0</v>
      </c>
      <c r="R46" s="900">
        <v>0</v>
      </c>
      <c r="S46" s="900">
        <v>0</v>
      </c>
      <c r="T46" s="900">
        <v>2</v>
      </c>
      <c r="U46" s="900">
        <v>1</v>
      </c>
      <c r="V46" s="990">
        <v>3</v>
      </c>
      <c r="W46" s="900">
        <v>0</v>
      </c>
      <c r="X46" s="900">
        <v>0</v>
      </c>
      <c r="Y46" s="900">
        <v>0</v>
      </c>
      <c r="Z46" s="900">
        <v>0</v>
      </c>
      <c r="AA46" s="990">
        <v>0</v>
      </c>
      <c r="AB46" s="900">
        <v>0</v>
      </c>
      <c r="AC46" s="900">
        <v>0</v>
      </c>
      <c r="AD46" s="900">
        <v>0</v>
      </c>
      <c r="AE46" s="900">
        <v>0</v>
      </c>
      <c r="AF46" s="990">
        <v>0</v>
      </c>
      <c r="AG46" s="900">
        <v>0</v>
      </c>
      <c r="AH46" s="900">
        <v>0</v>
      </c>
      <c r="AI46" s="900">
        <v>0</v>
      </c>
      <c r="AJ46" s="900">
        <v>0</v>
      </c>
      <c r="AK46" s="990">
        <v>0</v>
      </c>
      <c r="AL46" s="900">
        <v>0</v>
      </c>
      <c r="AM46" s="900">
        <v>0</v>
      </c>
      <c r="AN46" s="900">
        <v>0</v>
      </c>
      <c r="AO46" s="900">
        <v>0</v>
      </c>
      <c r="AP46" s="990">
        <v>0</v>
      </c>
      <c r="AQ46" s="900">
        <v>0</v>
      </c>
      <c r="AR46" s="900">
        <v>0</v>
      </c>
      <c r="AS46" s="900">
        <v>0</v>
      </c>
      <c r="AT46" s="58">
        <f>AU46-AQ46-AR46-AS46</f>
        <v>0</v>
      </c>
      <c r="AU46" s="990">
        <v>0</v>
      </c>
      <c r="AV46" s="900">
        <v>0</v>
      </c>
      <c r="AW46" s="900">
        <v>0</v>
      </c>
      <c r="AX46" s="900">
        <v>0</v>
      </c>
      <c r="AY46" s="58">
        <f>AZ46-AV46-AW46-AX46</f>
        <v>0</v>
      </c>
      <c r="AZ46" s="990">
        <v>0</v>
      </c>
      <c r="BA46" s="115"/>
      <c r="BB46" s="115"/>
      <c r="BC46" s="115"/>
      <c r="BD46" s="58">
        <f>BE46-BA46-BB46-BC46</f>
        <v>0</v>
      </c>
      <c r="BE46" s="995"/>
      <c r="BF46" s="115"/>
      <c r="BG46" s="115"/>
      <c r="BH46" s="641"/>
      <c r="BI46" s="115"/>
      <c r="BJ46" s="995">
        <f>SUM(BF46,BG46,BH46,BI46)</f>
        <v>0</v>
      </c>
      <c r="BK46" s="115"/>
      <c r="BL46" s="115"/>
      <c r="BM46" s="115"/>
      <c r="BN46" s="115"/>
      <c r="BO46" s="995">
        <f>SUM(BK46,BL46,BM46,BN46)</f>
        <v>0</v>
      </c>
      <c r="BP46" s="995"/>
      <c r="BQ46" s="995"/>
      <c r="BR46" s="995"/>
      <c r="BS46" s="305"/>
    </row>
    <row r="47" spans="1:71" s="51" customFormat="1" ht="15">
      <c r="A47" s="87" t="s">
        <v>546</v>
      </c>
      <c r="B47" s="164"/>
      <c r="C47" s="996">
        <f t="shared" si="140" ref="C47:AK47">SUM(C45:C46)</f>
        <v>25971</v>
      </c>
      <c r="D47" s="996">
        <f t="shared" si="140"/>
        <v>25907</v>
      </c>
      <c r="E47" s="996">
        <f t="shared" si="140"/>
        <v>25980</v>
      </c>
      <c r="F47" s="996">
        <f t="shared" si="140"/>
        <v>27027</v>
      </c>
      <c r="G47" s="996">
        <f t="shared" si="140"/>
        <v>28164</v>
      </c>
      <c r="H47" s="89">
        <f t="shared" si="140"/>
        <v>6969</v>
      </c>
      <c r="I47" s="89">
        <f t="shared" si="140"/>
        <v>7547</v>
      </c>
      <c r="J47" s="89">
        <f t="shared" si="140"/>
        <v>7806</v>
      </c>
      <c r="K47" s="89">
        <f t="shared" si="140"/>
        <v>7292</v>
      </c>
      <c r="L47" s="996">
        <f t="shared" si="140"/>
        <v>29614</v>
      </c>
      <c r="M47" s="89">
        <f t="shared" si="140"/>
        <v>7306</v>
      </c>
      <c r="N47" s="89">
        <f t="shared" si="140"/>
        <v>7877</v>
      </c>
      <c r="O47" s="89">
        <f t="shared" si="140"/>
        <v>8137</v>
      </c>
      <c r="P47" s="89">
        <f t="shared" si="140"/>
        <v>7551</v>
      </c>
      <c r="Q47" s="996">
        <f t="shared" si="140"/>
        <v>30871</v>
      </c>
      <c r="R47" s="89">
        <f t="shared" si="140"/>
        <v>7332</v>
      </c>
      <c r="S47" s="89">
        <f t="shared" si="140"/>
        <v>7868</v>
      </c>
      <c r="T47" s="89">
        <f t="shared" si="140"/>
        <v>8126</v>
      </c>
      <c r="U47" s="89">
        <f t="shared" si="140"/>
        <v>7565</v>
      </c>
      <c r="V47" s="996">
        <f t="shared" si="140"/>
        <v>30891</v>
      </c>
      <c r="W47" s="89">
        <f t="shared" si="140"/>
        <v>7469</v>
      </c>
      <c r="X47" s="89">
        <f t="shared" si="140"/>
        <v>8030</v>
      </c>
      <c r="Y47" s="89">
        <f t="shared" si="140"/>
        <v>8311</v>
      </c>
      <c r="Z47" s="89">
        <f t="shared" si="140"/>
        <v>7838</v>
      </c>
      <c r="AA47" s="996">
        <f t="shared" si="140"/>
        <v>31648</v>
      </c>
      <c r="AB47" s="89">
        <f t="shared" si="140"/>
        <v>7844</v>
      </c>
      <c r="AC47" s="89">
        <f t="shared" si="140"/>
        <v>8541</v>
      </c>
      <c r="AD47" s="89">
        <f t="shared" si="140"/>
        <v>8800</v>
      </c>
      <c r="AE47" s="89">
        <f t="shared" si="140"/>
        <v>8370</v>
      </c>
      <c r="AF47" s="996">
        <f t="shared" si="140"/>
        <v>33555</v>
      </c>
      <c r="AG47" s="89">
        <f t="shared" si="140"/>
        <v>8327</v>
      </c>
      <c r="AH47" s="89">
        <f t="shared" si="140"/>
        <v>9043</v>
      </c>
      <c r="AI47" s="89">
        <f t="shared" si="140"/>
        <v>9312</v>
      </c>
      <c r="AJ47" s="89">
        <f t="shared" si="140"/>
        <v>8737</v>
      </c>
      <c r="AK47" s="996">
        <f t="shared" si="140"/>
        <v>35419</v>
      </c>
      <c r="AL47" s="89">
        <f>SUM(AL45:AL46)</f>
        <v>8592</v>
      </c>
      <c r="AM47" s="89">
        <f>SUM(AM45:AM46)</f>
        <v>9172</v>
      </c>
      <c r="AN47" s="89">
        <f>SUM(AN45:AN46)</f>
        <v>9395</v>
      </c>
      <c r="AO47" s="89">
        <f t="shared" si="141" ref="AO47:AP47">SUM(AO45:AO46)</f>
        <v>8609</v>
      </c>
      <c r="AP47" s="996">
        <f t="shared" si="141"/>
        <v>35768</v>
      </c>
      <c r="AQ47" s="89">
        <f t="shared" si="142" ref="AQ47:AV47">SUM(AQ45:AQ46)</f>
        <v>9768</v>
      </c>
      <c r="AR47" s="89">
        <f t="shared" si="142"/>
        <v>10323</v>
      </c>
      <c r="AS47" s="89">
        <f t="shared" si="142"/>
        <v>10966</v>
      </c>
      <c r="AT47" s="89">
        <f t="shared" si="142"/>
        <v>10301</v>
      </c>
      <c r="AU47" s="996">
        <f t="shared" si="142"/>
        <v>41358</v>
      </c>
      <c r="AV47" s="89">
        <f t="shared" si="142"/>
        <v>10761</v>
      </c>
      <c r="AW47" s="89">
        <f t="shared" si="143" ref="AW47:BJ47">SUM(AW45:AW46)</f>
        <v>11509</v>
      </c>
      <c r="AX47" s="89">
        <f t="shared" si="143"/>
        <v>12037</v>
      </c>
      <c r="AY47" s="89">
        <f t="shared" si="143"/>
        <v>11480</v>
      </c>
      <c r="AZ47" s="996">
        <f t="shared" si="143"/>
        <v>45787</v>
      </c>
      <c r="BA47" s="89">
        <f t="shared" si="144" ref="BA47:BI47">SUM(BA45:BA46)</f>
        <v>11783</v>
      </c>
      <c r="BB47" s="89">
        <f t="shared" si="144"/>
        <v>12620</v>
      </c>
      <c r="BC47" s="89">
        <f t="shared" si="144"/>
        <v>13304</v>
      </c>
      <c r="BD47" s="89">
        <f t="shared" si="144"/>
        <v>12640</v>
      </c>
      <c r="BE47" s="996">
        <f t="shared" si="144"/>
        <v>50347</v>
      </c>
      <c r="BF47" s="89">
        <f>SUM(BF45:BF46)</f>
        <v>13183</v>
      </c>
      <c r="BG47" s="89">
        <f>SUM(BG45:BG46)</f>
        <v>14279</v>
      </c>
      <c r="BH47" s="742">
        <f>SUM(BH45:BH46)</f>
        <v>14707</v>
      </c>
      <c r="BI47" s="90">
        <f t="shared" si="144"/>
        <v>12253.93</v>
      </c>
      <c r="BJ47" s="997">
        <f t="shared" si="143"/>
        <v>54422.929999999993</v>
      </c>
      <c r="BK47" s="90">
        <f t="shared" si="145" ref="BK47:BR47">SUM(BK45:BK46)</f>
        <v>14293.250000000002</v>
      </c>
      <c r="BL47" s="90">
        <f t="shared" si="145"/>
        <v>15419.40</v>
      </c>
      <c r="BM47" s="90">
        <f t="shared" si="145"/>
        <v>15861.600000000004</v>
      </c>
      <c r="BN47" s="90">
        <f t="shared" si="145"/>
        <v>13280.306500000001</v>
      </c>
      <c r="BO47" s="997">
        <f t="shared" si="145"/>
        <v>58854.556500000013</v>
      </c>
      <c r="BP47" s="997">
        <f t="shared" si="145"/>
        <v>60605.193195000007</v>
      </c>
      <c r="BQ47" s="997">
        <f t="shared" si="145"/>
        <v>62408.34899085002</v>
      </c>
      <c r="BR47" s="997">
        <f t="shared" si="145"/>
        <v>64265.599460575511</v>
      </c>
      <c r="BS47" s="57"/>
    </row>
    <row r="48" spans="1:71" s="300" customFormat="1" ht="15" hidden="1" outlineLevel="1">
      <c r="A48" s="111"/>
      <c r="B48" s="233"/>
      <c r="C48" s="989"/>
      <c r="D48" s="989"/>
      <c r="E48" s="989"/>
      <c r="F48" s="989"/>
      <c r="G48" s="989"/>
      <c r="H48" s="92"/>
      <c r="I48" s="92"/>
      <c r="J48" s="92"/>
      <c r="K48" s="92"/>
      <c r="L48" s="989"/>
      <c r="M48" s="92"/>
      <c r="N48" s="92"/>
      <c r="O48" s="92"/>
      <c r="P48" s="92"/>
      <c r="Q48" s="989"/>
      <c r="R48" s="92"/>
      <c r="S48" s="92"/>
      <c r="T48" s="92"/>
      <c r="U48" s="92"/>
      <c r="V48" s="989"/>
      <c r="W48" s="92"/>
      <c r="X48" s="92"/>
      <c r="Y48" s="92"/>
      <c r="Z48" s="92"/>
      <c r="AA48" s="989"/>
      <c r="AB48" s="92"/>
      <c r="AC48" s="92"/>
      <c r="AD48" s="92"/>
      <c r="AE48" s="92"/>
      <c r="AF48" s="989"/>
      <c r="AG48" s="92"/>
      <c r="AH48" s="92"/>
      <c r="AI48" s="92"/>
      <c r="AJ48" s="92"/>
      <c r="AK48" s="989"/>
      <c r="AL48" s="92"/>
      <c r="AM48" s="92"/>
      <c r="AN48" s="92"/>
      <c r="AO48" s="92"/>
      <c r="AP48" s="989"/>
      <c r="AQ48" s="92"/>
      <c r="AR48" s="92"/>
      <c r="AS48" s="92"/>
      <c r="AT48" s="92"/>
      <c r="AU48" s="989"/>
      <c r="AV48" s="92"/>
      <c r="AW48" s="92"/>
      <c r="AX48" s="92"/>
      <c r="AY48" s="92"/>
      <c r="AZ48" s="989"/>
      <c r="BA48" s="92"/>
      <c r="BB48" s="92"/>
      <c r="BC48" s="92"/>
      <c r="BD48" s="92"/>
      <c r="BE48" s="989"/>
      <c r="BF48" s="92"/>
      <c r="BG48" s="92"/>
      <c r="BH48" s="464"/>
      <c r="BI48" s="92"/>
      <c r="BJ48" s="989"/>
      <c r="BK48" s="92"/>
      <c r="BL48" s="92"/>
      <c r="BM48" s="92"/>
      <c r="BN48" s="92"/>
      <c r="BO48" s="989"/>
      <c r="BP48" s="989"/>
      <c r="BQ48" s="989"/>
      <c r="BR48" s="989"/>
      <c r="BS48" s="305"/>
    </row>
    <row r="49" spans="1:71" s="300" customFormat="1" ht="15" hidden="1" outlineLevel="1">
      <c r="A49" s="408" t="s">
        <v>782</v>
      </c>
      <c r="B49" s="233"/>
      <c r="C49" s="989">
        <f t="shared" si="146" ref="C49:R53">C40-C58</f>
        <v>-96</v>
      </c>
      <c r="D49" s="989">
        <f t="shared" si="146"/>
        <v>-60</v>
      </c>
      <c r="E49" s="989">
        <f t="shared" si="146"/>
        <v>-35</v>
      </c>
      <c r="F49" s="989">
        <f t="shared" si="146"/>
        <v>112</v>
      </c>
      <c r="G49" s="989">
        <f t="shared" si="146"/>
        <v>252</v>
      </c>
      <c r="H49" s="92">
        <f t="shared" si="146"/>
        <v>135</v>
      </c>
      <c r="I49" s="92">
        <f t="shared" si="146"/>
        <v>65</v>
      </c>
      <c r="J49" s="92">
        <f t="shared" si="146"/>
        <v>181</v>
      </c>
      <c r="K49" s="92">
        <f t="shared" si="146"/>
        <v>-57</v>
      </c>
      <c r="L49" s="989">
        <f t="shared" si="146"/>
        <v>324</v>
      </c>
      <c r="M49" s="92">
        <f t="shared" si="146"/>
        <v>137</v>
      </c>
      <c r="N49" s="92">
        <f t="shared" si="146"/>
        <v>38</v>
      </c>
      <c r="O49" s="92">
        <f t="shared" si="146"/>
        <v>172</v>
      </c>
      <c r="P49" s="92">
        <f t="shared" si="146"/>
        <v>-95</v>
      </c>
      <c r="Q49" s="989">
        <f t="shared" si="146"/>
        <v>252</v>
      </c>
      <c r="R49" s="92">
        <f t="shared" si="146"/>
        <v>103</v>
      </c>
      <c r="S49" s="92">
        <f t="shared" si="147" ref="D49:AQ53">S40-S58</f>
        <v>-1</v>
      </c>
      <c r="T49" s="92">
        <f t="shared" si="147"/>
        <v>168</v>
      </c>
      <c r="U49" s="92">
        <f t="shared" si="147"/>
        <v>-109</v>
      </c>
      <c r="V49" s="989">
        <f t="shared" si="147"/>
        <v>161</v>
      </c>
      <c r="W49" s="92">
        <f t="shared" si="147"/>
        <v>58</v>
      </c>
      <c r="X49" s="92">
        <f t="shared" si="147"/>
        <v>21</v>
      </c>
      <c r="Y49" s="92">
        <f t="shared" si="147"/>
        <v>163</v>
      </c>
      <c r="Z49" s="92">
        <f t="shared" si="147"/>
        <v>-78</v>
      </c>
      <c r="AA49" s="989">
        <f t="shared" si="147"/>
        <v>164</v>
      </c>
      <c r="AB49" s="92">
        <f t="shared" si="147"/>
        <v>148</v>
      </c>
      <c r="AC49" s="92">
        <f t="shared" si="147"/>
        <v>82</v>
      </c>
      <c r="AD49" s="92">
        <f t="shared" si="147"/>
        <v>189</v>
      </c>
      <c r="AE49" s="92">
        <f t="shared" si="147"/>
        <v>-22</v>
      </c>
      <c r="AF49" s="989">
        <f t="shared" si="147"/>
        <v>397</v>
      </c>
      <c r="AG49" s="92">
        <f t="shared" si="147"/>
        <v>117</v>
      </c>
      <c r="AH49" s="92">
        <f t="shared" si="147"/>
        <v>52</v>
      </c>
      <c r="AI49" s="92">
        <f t="shared" si="147"/>
        <v>191</v>
      </c>
      <c r="AJ49" s="92">
        <f t="shared" si="147"/>
        <v>-86</v>
      </c>
      <c r="AK49" s="989">
        <f t="shared" si="147"/>
        <v>274</v>
      </c>
      <c r="AL49" s="92">
        <f t="shared" si="147"/>
        <v>54</v>
      </c>
      <c r="AM49" s="92">
        <f t="shared" si="147"/>
        <v>18</v>
      </c>
      <c r="AN49" s="92">
        <f t="shared" si="147"/>
        <v>116</v>
      </c>
      <c r="AO49" s="92">
        <f t="shared" si="147"/>
        <v>-217</v>
      </c>
      <c r="AP49" s="989">
        <f t="shared" si="147"/>
        <v>-29</v>
      </c>
      <c r="AQ49" s="92">
        <f t="shared" si="147"/>
        <v>203</v>
      </c>
      <c r="AR49" s="92">
        <f t="shared" si="148" ref="AR49:AR55">AR40-AR58</f>
        <v>-65</v>
      </c>
      <c r="AS49" s="92">
        <f t="shared" si="149" ref="AS49:AS55">AS40-AS58</f>
        <v>259</v>
      </c>
      <c r="AT49" s="92">
        <f t="shared" si="150" ref="AT49:AU55">AT40-AT58</f>
        <v>-155</v>
      </c>
      <c r="AU49" s="989">
        <f t="shared" si="150"/>
        <v>242</v>
      </c>
      <c r="AV49" s="92">
        <f t="shared" si="151" ref="AV49:AV55">AV40-AV58</f>
        <v>481</v>
      </c>
      <c r="AW49" s="92">
        <f t="shared" si="152" ref="AW49:AW53">AW40-AW58</f>
        <v>122</v>
      </c>
      <c r="AX49" s="92">
        <f t="shared" si="153" ref="AX49:AX55">AX40-AX58</f>
        <v>315</v>
      </c>
      <c r="AY49" s="92">
        <f t="shared" si="154" ref="AY49:AZ53">AY40-AY58</f>
        <v>33</v>
      </c>
      <c r="AZ49" s="989">
        <f t="shared" si="154"/>
        <v>951</v>
      </c>
      <c r="BA49" s="92">
        <f t="shared" si="155" ref="BA49:BA55">BA40-BA58</f>
        <v>441</v>
      </c>
      <c r="BB49" s="92">
        <f t="shared" si="156" ref="BB49:BB55">BB40-BB58</f>
        <v>148</v>
      </c>
      <c r="BC49" s="92">
        <f t="shared" si="157" ref="BC49:BC55">BC40-BC58</f>
        <v>425</v>
      </c>
      <c r="BD49" s="92">
        <f t="shared" si="158" ref="BD49:BI53">BD40-BD58</f>
        <v>4</v>
      </c>
      <c r="BE49" s="989">
        <f t="shared" si="158"/>
        <v>1018</v>
      </c>
      <c r="BF49" s="92">
        <f t="shared" si="159" ref="BF49:BF55">BF40-BF58</f>
        <v>579</v>
      </c>
      <c r="BG49" s="92">
        <f t="shared" si="160" ref="BG49:BG55">BG40-BG58</f>
        <v>205</v>
      </c>
      <c r="BH49" s="464">
        <f t="shared" si="161" ref="BH49:BH55">BH40-BH58</f>
        <v>269</v>
      </c>
      <c r="BI49" s="92">
        <f t="shared" si="158"/>
        <v>-1259.7899999999991</v>
      </c>
      <c r="BJ49" s="989">
        <f t="shared" si="162" ref="BJ49:BJ53">BJ40-BJ58</f>
        <v>-206.79000000000087</v>
      </c>
      <c r="BK49" s="92">
        <f t="shared" si="163" ref="BK49:BR53">BK40-BK58</f>
        <v>102.92699999999968</v>
      </c>
      <c r="BL49" s="92">
        <f t="shared" si="163"/>
        <v>102.1239999999998</v>
      </c>
      <c r="BM49" s="92">
        <f t="shared" si="163"/>
        <v>104.92900000000009</v>
      </c>
      <c r="BN49" s="92">
        <f t="shared" si="163"/>
        <v>-1385.7689999999984</v>
      </c>
      <c r="BO49" s="989">
        <f t="shared" si="163"/>
        <v>-1075.788999999997</v>
      </c>
      <c r="BP49" s="989">
        <f t="shared" si="163"/>
        <v>414.4355379999979</v>
      </c>
      <c r="BQ49" s="989">
        <f t="shared" si="163"/>
        <v>426.86860413999966</v>
      </c>
      <c r="BR49" s="989">
        <f t="shared" si="163"/>
        <v>439.6746622642022</v>
      </c>
      <c r="BS49" s="305"/>
    </row>
    <row r="50" spans="1:71" s="300" customFormat="1" ht="15" hidden="1" outlineLevel="1">
      <c r="A50" s="408" t="s">
        <v>783</v>
      </c>
      <c r="B50" s="233"/>
      <c r="C50" s="989">
        <f t="shared" si="146"/>
        <v>-34</v>
      </c>
      <c r="D50" s="989">
        <f t="shared" si="147"/>
        <v>32</v>
      </c>
      <c r="E50" s="989">
        <f t="shared" si="147"/>
        <v>55</v>
      </c>
      <c r="F50" s="989">
        <f t="shared" si="147"/>
        <v>99</v>
      </c>
      <c r="G50" s="989">
        <f t="shared" si="147"/>
        <v>137</v>
      </c>
      <c r="H50" s="92">
        <f t="shared" si="147"/>
        <v>-244</v>
      </c>
      <c r="I50" s="92">
        <f t="shared" si="147"/>
        <v>188</v>
      </c>
      <c r="J50" s="92">
        <f t="shared" si="147"/>
        <v>231</v>
      </c>
      <c r="K50" s="92">
        <f t="shared" si="147"/>
        <v>-28</v>
      </c>
      <c r="L50" s="989">
        <f t="shared" si="147"/>
        <v>147</v>
      </c>
      <c r="M50" s="92">
        <f t="shared" si="147"/>
        <v>-266</v>
      </c>
      <c r="N50" s="92">
        <f t="shared" si="147"/>
        <v>187</v>
      </c>
      <c r="O50" s="92">
        <f t="shared" si="147"/>
        <v>227</v>
      </c>
      <c r="P50" s="92">
        <f t="shared" si="147"/>
        <v>-46</v>
      </c>
      <c r="Q50" s="989">
        <f t="shared" si="147"/>
        <v>102</v>
      </c>
      <c r="R50" s="92">
        <f t="shared" si="147"/>
        <v>-303</v>
      </c>
      <c r="S50" s="92">
        <f t="shared" si="147"/>
        <v>156</v>
      </c>
      <c r="T50" s="92">
        <f t="shared" si="147"/>
        <v>193</v>
      </c>
      <c r="U50" s="92">
        <f t="shared" si="147"/>
        <v>-63</v>
      </c>
      <c r="V50" s="989">
        <f t="shared" si="147"/>
        <v>-17</v>
      </c>
      <c r="W50" s="92">
        <f t="shared" si="147"/>
        <v>-305</v>
      </c>
      <c r="X50" s="92">
        <f t="shared" si="147"/>
        <v>164</v>
      </c>
      <c r="Y50" s="92">
        <f t="shared" si="147"/>
        <v>221</v>
      </c>
      <c r="Z50" s="92">
        <f t="shared" si="147"/>
        <v>-40</v>
      </c>
      <c r="AA50" s="989">
        <f t="shared" si="147"/>
        <v>40</v>
      </c>
      <c r="AB50" s="92">
        <f t="shared" si="147"/>
        <v>-276</v>
      </c>
      <c r="AC50" s="92">
        <f t="shared" si="147"/>
        <v>220</v>
      </c>
      <c r="AD50" s="92">
        <f t="shared" si="147"/>
        <v>253</v>
      </c>
      <c r="AE50" s="92">
        <f t="shared" si="147"/>
        <v>-16</v>
      </c>
      <c r="AF50" s="989">
        <f t="shared" si="147"/>
        <v>181</v>
      </c>
      <c r="AG50" s="92">
        <f t="shared" si="147"/>
        <v>-259</v>
      </c>
      <c r="AH50" s="92">
        <f t="shared" si="147"/>
        <v>261</v>
      </c>
      <c r="AI50" s="92">
        <f t="shared" si="147"/>
        <v>291</v>
      </c>
      <c r="AJ50" s="92">
        <f t="shared" si="147"/>
        <v>-40</v>
      </c>
      <c r="AK50" s="989">
        <f t="shared" si="147"/>
        <v>253</v>
      </c>
      <c r="AL50" s="92">
        <f t="shared" si="147"/>
        <v>-305</v>
      </c>
      <c r="AM50" s="92">
        <f t="shared" si="147"/>
        <v>230</v>
      </c>
      <c r="AN50" s="92">
        <f t="shared" si="147"/>
        <v>266</v>
      </c>
      <c r="AO50" s="92">
        <f t="shared" si="147"/>
        <v>-45</v>
      </c>
      <c r="AP50" s="989">
        <f t="shared" si="147"/>
        <v>146</v>
      </c>
      <c r="AQ50" s="92">
        <f t="shared" si="147"/>
        <v>-309</v>
      </c>
      <c r="AR50" s="92">
        <f t="shared" si="148"/>
        <v>311</v>
      </c>
      <c r="AS50" s="92">
        <f t="shared" si="149"/>
        <v>482</v>
      </c>
      <c r="AT50" s="92">
        <f t="shared" si="150"/>
        <v>78</v>
      </c>
      <c r="AU50" s="989">
        <f t="shared" si="150"/>
        <v>562</v>
      </c>
      <c r="AV50" s="92">
        <f t="shared" si="151"/>
        <v>-89</v>
      </c>
      <c r="AW50" s="92">
        <f t="shared" si="152"/>
        <v>567</v>
      </c>
      <c r="AX50" s="92">
        <f t="shared" si="153"/>
        <v>644</v>
      </c>
      <c r="AY50" s="92">
        <f t="shared" si="154"/>
        <v>208</v>
      </c>
      <c r="AZ50" s="989">
        <f t="shared" si="154"/>
        <v>1330</v>
      </c>
      <c r="BA50" s="92">
        <f t="shared" si="155"/>
        <v>-276</v>
      </c>
      <c r="BB50" s="92">
        <f t="shared" si="156"/>
        <v>498</v>
      </c>
      <c r="BC50" s="92">
        <f t="shared" si="157"/>
        <v>556</v>
      </c>
      <c r="BD50" s="92">
        <f t="shared" si="158"/>
        <v>67</v>
      </c>
      <c r="BE50" s="989">
        <f t="shared" si="158"/>
        <v>845</v>
      </c>
      <c r="BF50" s="92">
        <f t="shared" si="159"/>
        <v>-280</v>
      </c>
      <c r="BG50" s="92">
        <f t="shared" si="160"/>
        <v>590</v>
      </c>
      <c r="BH50" s="464">
        <f t="shared" si="161"/>
        <v>670</v>
      </c>
      <c r="BI50" s="92">
        <f t="shared" si="158"/>
        <v>59.735999999999876</v>
      </c>
      <c r="BJ50" s="989">
        <f t="shared" si="162"/>
        <v>1039.735999999999</v>
      </c>
      <c r="BK50" s="92">
        <f t="shared" si="163"/>
        <v>60.354000000000269</v>
      </c>
      <c r="BL50" s="92">
        <f t="shared" si="163"/>
        <v>80.744999999999891</v>
      </c>
      <c r="BM50" s="92">
        <f t="shared" si="163"/>
        <v>85.533000000000357</v>
      </c>
      <c r="BN50" s="92">
        <f t="shared" si="163"/>
        <v>62.722800000000007</v>
      </c>
      <c r="BO50" s="989">
        <f t="shared" si="163"/>
        <v>289.35480000000098</v>
      </c>
      <c r="BP50" s="989">
        <f t="shared" si="163"/>
        <v>149.0177220000005</v>
      </c>
      <c r="BQ50" s="989">
        <f t="shared" si="163"/>
        <v>306.97650731999966</v>
      </c>
      <c r="BR50" s="989">
        <f t="shared" si="163"/>
        <v>316.18580253959954</v>
      </c>
      <c r="BS50" s="305"/>
    </row>
    <row r="51" spans="1:71" s="300" customFormat="1" ht="15" hidden="1" outlineLevel="1">
      <c r="A51" s="408" t="s">
        <v>784</v>
      </c>
      <c r="B51" s="233"/>
      <c r="C51" s="989">
        <f t="shared" si="146"/>
        <v>-93</v>
      </c>
      <c r="D51" s="989">
        <f t="shared" si="147"/>
        <v>-21</v>
      </c>
      <c r="E51" s="989">
        <f t="shared" si="147"/>
        <v>8</v>
      </c>
      <c r="F51" s="989">
        <f t="shared" si="147"/>
        <v>18</v>
      </c>
      <c r="G51" s="989">
        <f t="shared" si="147"/>
        <v>16</v>
      </c>
      <c r="H51" s="92">
        <f t="shared" si="147"/>
        <v>-35</v>
      </c>
      <c r="I51" s="92">
        <f t="shared" si="147"/>
        <v>32</v>
      </c>
      <c r="J51" s="92">
        <f t="shared" si="147"/>
        <v>38</v>
      </c>
      <c r="K51" s="92">
        <f t="shared" si="147"/>
        <v>-14</v>
      </c>
      <c r="L51" s="989">
        <f t="shared" si="147"/>
        <v>21</v>
      </c>
      <c r="M51" s="92">
        <f t="shared" si="147"/>
        <v>-37</v>
      </c>
      <c r="N51" s="92">
        <f t="shared" si="147"/>
        <v>31</v>
      </c>
      <c r="O51" s="92">
        <f t="shared" si="147"/>
        <v>35</v>
      </c>
      <c r="P51" s="92">
        <f t="shared" si="147"/>
        <v>-22</v>
      </c>
      <c r="Q51" s="989">
        <f t="shared" si="147"/>
        <v>7</v>
      </c>
      <c r="R51" s="92">
        <f t="shared" si="147"/>
        <v>-45</v>
      </c>
      <c r="S51" s="92">
        <f t="shared" si="147"/>
        <v>33</v>
      </c>
      <c r="T51" s="92">
        <f t="shared" si="147"/>
        <v>48</v>
      </c>
      <c r="U51" s="92">
        <f t="shared" si="147"/>
        <v>-12</v>
      </c>
      <c r="V51" s="989">
        <f t="shared" si="147"/>
        <v>24</v>
      </c>
      <c r="W51" s="92">
        <f t="shared" si="147"/>
        <v>-41</v>
      </c>
      <c r="X51" s="92">
        <f t="shared" si="147"/>
        <v>32</v>
      </c>
      <c r="Y51" s="92">
        <f t="shared" si="147"/>
        <v>39</v>
      </c>
      <c r="Z51" s="92">
        <f t="shared" si="147"/>
        <v>-12</v>
      </c>
      <c r="AA51" s="989">
        <f t="shared" si="147"/>
        <v>18</v>
      </c>
      <c r="AB51" s="92">
        <f t="shared" si="147"/>
        <v>-48</v>
      </c>
      <c r="AC51" s="92">
        <f t="shared" si="147"/>
        <v>43</v>
      </c>
      <c r="AD51" s="92">
        <f t="shared" si="147"/>
        <v>41</v>
      </c>
      <c r="AE51" s="92">
        <f t="shared" si="147"/>
        <v>-13</v>
      </c>
      <c r="AF51" s="989">
        <f t="shared" si="147"/>
        <v>23</v>
      </c>
      <c r="AG51" s="92">
        <f t="shared" si="147"/>
        <v>-40</v>
      </c>
      <c r="AH51" s="92">
        <f t="shared" si="147"/>
        <v>39</v>
      </c>
      <c r="AI51" s="92">
        <f t="shared" si="147"/>
        <v>46</v>
      </c>
      <c r="AJ51" s="92">
        <f t="shared" si="147"/>
        <v>-16</v>
      </c>
      <c r="AK51" s="989">
        <f t="shared" si="147"/>
        <v>29</v>
      </c>
      <c r="AL51" s="92">
        <f t="shared" si="147"/>
        <v>-41</v>
      </c>
      <c r="AM51" s="92">
        <f t="shared" si="147"/>
        <v>50</v>
      </c>
      <c r="AN51" s="92">
        <f t="shared" si="147"/>
        <v>56</v>
      </c>
      <c r="AO51" s="92">
        <f t="shared" si="147"/>
        <v>-19</v>
      </c>
      <c r="AP51" s="989">
        <f t="shared" si="147"/>
        <v>46</v>
      </c>
      <c r="AQ51" s="92">
        <f t="shared" si="147"/>
        <v>-29</v>
      </c>
      <c r="AR51" s="92">
        <f t="shared" si="148"/>
        <v>60</v>
      </c>
      <c r="AS51" s="92">
        <f t="shared" si="149"/>
        <v>63</v>
      </c>
      <c r="AT51" s="92">
        <f t="shared" si="150"/>
        <v>-15</v>
      </c>
      <c r="AU51" s="989">
        <f t="shared" si="150"/>
        <v>79</v>
      </c>
      <c r="AV51" s="92">
        <f t="shared" si="151"/>
        <v>-27</v>
      </c>
      <c r="AW51" s="92">
        <f t="shared" si="152"/>
        <v>64</v>
      </c>
      <c r="AX51" s="92">
        <f t="shared" si="153"/>
        <v>66</v>
      </c>
      <c r="AY51" s="92">
        <f t="shared" si="154"/>
        <v>-13</v>
      </c>
      <c r="AZ51" s="989">
        <f t="shared" si="154"/>
        <v>90</v>
      </c>
      <c r="BA51" s="92">
        <f t="shared" si="155"/>
        <v>-14</v>
      </c>
      <c r="BB51" s="92">
        <f t="shared" si="156"/>
        <v>88</v>
      </c>
      <c r="BC51" s="92">
        <f t="shared" si="157"/>
        <v>68</v>
      </c>
      <c r="BD51" s="92">
        <f t="shared" si="158"/>
        <v>-10</v>
      </c>
      <c r="BE51" s="989">
        <f t="shared" si="158"/>
        <v>132</v>
      </c>
      <c r="BF51" s="92">
        <f t="shared" si="159"/>
        <v>1</v>
      </c>
      <c r="BG51" s="92">
        <f t="shared" si="160"/>
        <v>144</v>
      </c>
      <c r="BH51" s="464">
        <f t="shared" si="161"/>
        <v>99</v>
      </c>
      <c r="BI51" s="92">
        <f t="shared" si="158"/>
        <v>11.779999999999973</v>
      </c>
      <c r="BJ51" s="989">
        <f t="shared" si="162"/>
        <v>255.77999999999975</v>
      </c>
      <c r="BK51" s="92">
        <f t="shared" si="163"/>
        <v>13.860000000000014</v>
      </c>
      <c r="BL51" s="92">
        <f t="shared" si="163"/>
        <v>17.745000000000005</v>
      </c>
      <c r="BM51" s="92">
        <f t="shared" si="163"/>
        <v>17.157000000000039</v>
      </c>
      <c r="BN51" s="92">
        <f t="shared" si="163"/>
        <v>12.369000000000028</v>
      </c>
      <c r="BO51" s="989">
        <f t="shared" si="163"/>
        <v>61.131000000000313</v>
      </c>
      <c r="BP51" s="989">
        <f t="shared" si="163"/>
        <v>31.482465000000047</v>
      </c>
      <c r="BQ51" s="989">
        <f t="shared" si="163"/>
        <v>64.853877900000043</v>
      </c>
      <c r="BR51" s="989">
        <f t="shared" si="163"/>
        <v>66.79949423700009</v>
      </c>
      <c r="BS51" s="305"/>
    </row>
    <row r="52" spans="1:71" s="300" customFormat="1" ht="15" hidden="1" outlineLevel="1">
      <c r="A52" s="408" t="s">
        <v>785</v>
      </c>
      <c r="B52" s="233"/>
      <c r="C52" s="989">
        <f t="shared" si="146"/>
        <v>0</v>
      </c>
      <c r="D52" s="989">
        <f t="shared" si="147"/>
        <v>0</v>
      </c>
      <c r="E52" s="989">
        <f t="shared" si="147"/>
        <v>-23</v>
      </c>
      <c r="F52" s="989">
        <f t="shared" si="147"/>
        <v>-8</v>
      </c>
      <c r="G52" s="989">
        <f t="shared" si="147"/>
        <v>10</v>
      </c>
      <c r="H52" s="92">
        <f t="shared" si="147"/>
        <v>6</v>
      </c>
      <c r="I52" s="92">
        <f t="shared" si="147"/>
        <v>9</v>
      </c>
      <c r="J52" s="92">
        <f t="shared" si="147"/>
        <v>2</v>
      </c>
      <c r="K52" s="92">
        <f t="shared" si="147"/>
        <v>1</v>
      </c>
      <c r="L52" s="989">
        <f t="shared" si="147"/>
        <v>18</v>
      </c>
      <c r="M52" s="92">
        <f t="shared" si="147"/>
        <v>3</v>
      </c>
      <c r="N52" s="92">
        <f t="shared" si="147"/>
        <v>10</v>
      </c>
      <c r="O52" s="92">
        <f t="shared" si="147"/>
        <v>-4</v>
      </c>
      <c r="P52" s="92">
        <f t="shared" si="147"/>
        <v>-3</v>
      </c>
      <c r="Q52" s="989">
        <f t="shared" si="147"/>
        <v>6</v>
      </c>
      <c r="R52" s="92">
        <f t="shared" si="147"/>
        <v>-3</v>
      </c>
      <c r="S52" s="92">
        <f t="shared" si="147"/>
        <v>8</v>
      </c>
      <c r="T52" s="92">
        <f t="shared" si="147"/>
        <v>-4</v>
      </c>
      <c r="U52" s="92">
        <f t="shared" si="147"/>
        <v>-8</v>
      </c>
      <c r="V52" s="989">
        <f t="shared" si="147"/>
        <v>-7</v>
      </c>
      <c r="W52" s="92">
        <f t="shared" si="147"/>
        <v>-2</v>
      </c>
      <c r="X52" s="92">
        <f t="shared" si="147"/>
        <v>6</v>
      </c>
      <c r="Y52" s="92">
        <f t="shared" si="147"/>
        <v>-8</v>
      </c>
      <c r="Z52" s="92">
        <f t="shared" si="147"/>
        <v>-3</v>
      </c>
      <c r="AA52" s="989">
        <f t="shared" si="147"/>
        <v>-7</v>
      </c>
      <c r="AB52" s="92">
        <f t="shared" si="147"/>
        <v>1</v>
      </c>
      <c r="AC52" s="92">
        <f t="shared" si="147"/>
        <v>7</v>
      </c>
      <c r="AD52" s="92">
        <f t="shared" si="147"/>
        <v>-3</v>
      </c>
      <c r="AE52" s="92">
        <f t="shared" si="147"/>
        <v>-1</v>
      </c>
      <c r="AF52" s="989">
        <f t="shared" si="147"/>
        <v>4</v>
      </c>
      <c r="AG52" s="92">
        <f t="shared" si="147"/>
        <v>2</v>
      </c>
      <c r="AH52" s="92">
        <f t="shared" si="147"/>
        <v>10</v>
      </c>
      <c r="AI52" s="92">
        <f t="shared" si="147"/>
        <v>2</v>
      </c>
      <c r="AJ52" s="92">
        <f t="shared" si="147"/>
        <v>6</v>
      </c>
      <c r="AK52" s="989">
        <f t="shared" si="147"/>
        <v>20</v>
      </c>
      <c r="AL52" s="92">
        <f t="shared" si="147"/>
        <v>3</v>
      </c>
      <c r="AM52" s="92">
        <f t="shared" si="147"/>
        <v>11</v>
      </c>
      <c r="AN52" s="92">
        <f t="shared" si="147"/>
        <v>5</v>
      </c>
      <c r="AO52" s="92">
        <f t="shared" si="147"/>
        <v>6</v>
      </c>
      <c r="AP52" s="989">
        <f t="shared" si="147"/>
        <v>25</v>
      </c>
      <c r="AQ52" s="92">
        <f t="shared" si="147"/>
        <v>7</v>
      </c>
      <c r="AR52" s="92">
        <f t="shared" si="148"/>
        <v>8</v>
      </c>
      <c r="AS52" s="92">
        <f t="shared" si="149"/>
        <v>3</v>
      </c>
      <c r="AT52" s="92">
        <f t="shared" si="150"/>
        <v>3</v>
      </c>
      <c r="AU52" s="989">
        <f t="shared" si="150"/>
        <v>21</v>
      </c>
      <c r="AV52" s="92">
        <f t="shared" si="151"/>
        <v>11</v>
      </c>
      <c r="AW52" s="92">
        <f t="shared" si="152"/>
        <v>2</v>
      </c>
      <c r="AX52" s="92">
        <f t="shared" si="153"/>
        <v>-11</v>
      </c>
      <c r="AY52" s="92">
        <f t="shared" si="154"/>
        <v>-1</v>
      </c>
      <c r="AZ52" s="989">
        <f t="shared" si="154"/>
        <v>1</v>
      </c>
      <c r="BA52" s="92">
        <f t="shared" si="155"/>
        <v>-5</v>
      </c>
      <c r="BB52" s="92">
        <f t="shared" si="156"/>
        <v>-2</v>
      </c>
      <c r="BC52" s="92">
        <f t="shared" si="157"/>
        <v>-54</v>
      </c>
      <c r="BD52" s="92">
        <f t="shared" si="158"/>
        <v>-30</v>
      </c>
      <c r="BE52" s="989">
        <f t="shared" si="158"/>
        <v>-91</v>
      </c>
      <c r="BF52" s="92">
        <f t="shared" si="159"/>
        <v>-12</v>
      </c>
      <c r="BG52" s="92">
        <f t="shared" si="160"/>
        <v>-8</v>
      </c>
      <c r="BH52" s="464">
        <f t="shared" si="161"/>
        <v>-47</v>
      </c>
      <c r="BI52" s="92">
        <f t="shared" si="158"/>
        <v>-46.359000000000009</v>
      </c>
      <c r="BJ52" s="989">
        <f t="shared" si="162"/>
        <v>-113.35900000000004</v>
      </c>
      <c r="BK52" s="92">
        <f t="shared" si="163"/>
        <v>3.296999999999997</v>
      </c>
      <c r="BL52" s="92">
        <f t="shared" si="163"/>
        <v>3.1500000000000057</v>
      </c>
      <c r="BM52" s="92">
        <f t="shared" si="163"/>
        <v>2.1839999999999975</v>
      </c>
      <c r="BN52" s="92">
        <f t="shared" si="163"/>
        <v>-3.2451300000000174</v>
      </c>
      <c r="BO52" s="989">
        <f t="shared" si="163"/>
        <v>5.3858699999999544</v>
      </c>
      <c r="BP52" s="989">
        <f t="shared" si="163"/>
        <v>12.232413899999983</v>
      </c>
      <c r="BQ52" s="989">
        <f t="shared" si="163"/>
        <v>12.59938631700004</v>
      </c>
      <c r="BR52" s="989">
        <f t="shared" si="163"/>
        <v>12.97736790651004</v>
      </c>
      <c r="BS52" s="305"/>
    </row>
    <row r="53" spans="1:71" s="300" customFormat="1" ht="15" hidden="1" outlineLevel="1">
      <c r="A53" s="566" t="s">
        <v>796</v>
      </c>
      <c r="B53" s="113"/>
      <c r="C53" s="995">
        <f t="shared" si="146"/>
        <v>0</v>
      </c>
      <c r="D53" s="995">
        <f t="shared" si="147"/>
        <v>0</v>
      </c>
      <c r="E53" s="995">
        <f t="shared" si="147"/>
        <v>34</v>
      </c>
      <c r="F53" s="995">
        <f t="shared" si="147"/>
        <v>68</v>
      </c>
      <c r="G53" s="995">
        <f t="shared" si="147"/>
        <v>131</v>
      </c>
      <c r="H53" s="115">
        <f t="shared" si="147"/>
        <v>43</v>
      </c>
      <c r="I53" s="115">
        <f t="shared" si="147"/>
        <v>49</v>
      </c>
      <c r="J53" s="115">
        <f t="shared" si="147"/>
        <v>47</v>
      </c>
      <c r="K53" s="115">
        <f t="shared" si="147"/>
        <v>36</v>
      </c>
      <c r="L53" s="995">
        <f t="shared" si="147"/>
        <v>175</v>
      </c>
      <c r="M53" s="115">
        <f t="shared" si="147"/>
        <v>43</v>
      </c>
      <c r="N53" s="115">
        <f t="shared" si="147"/>
        <v>62</v>
      </c>
      <c r="O53" s="115">
        <f t="shared" si="147"/>
        <v>57</v>
      </c>
      <c r="P53" s="115">
        <f t="shared" si="147"/>
        <v>33</v>
      </c>
      <c r="Q53" s="995">
        <f t="shared" si="147"/>
        <v>195</v>
      </c>
      <c r="R53" s="115">
        <f t="shared" si="147"/>
        <v>0</v>
      </c>
      <c r="S53" s="115">
        <f t="shared" si="147"/>
        <v>0</v>
      </c>
      <c r="T53" s="115">
        <f t="shared" si="147"/>
        <v>0</v>
      </c>
      <c r="U53" s="115">
        <f t="shared" si="147"/>
        <v>0</v>
      </c>
      <c r="V53" s="995">
        <f t="shared" si="147"/>
        <v>0</v>
      </c>
      <c r="W53" s="115">
        <f t="shared" si="147"/>
        <v>0</v>
      </c>
      <c r="X53" s="115">
        <f t="shared" si="147"/>
        <v>0</v>
      </c>
      <c r="Y53" s="115">
        <f t="shared" si="147"/>
        <v>0</v>
      </c>
      <c r="Z53" s="115">
        <f t="shared" si="147"/>
        <v>0</v>
      </c>
      <c r="AA53" s="995">
        <f t="shared" si="147"/>
        <v>0</v>
      </c>
      <c r="AB53" s="115">
        <f t="shared" si="147"/>
        <v>0</v>
      </c>
      <c r="AC53" s="115">
        <f t="shared" si="147"/>
        <v>0</v>
      </c>
      <c r="AD53" s="115">
        <f t="shared" si="147"/>
        <v>0</v>
      </c>
      <c r="AE53" s="115">
        <f t="shared" si="147"/>
        <v>0</v>
      </c>
      <c r="AF53" s="995">
        <f t="shared" si="147"/>
        <v>0</v>
      </c>
      <c r="AG53" s="115">
        <f t="shared" si="147"/>
        <v>0</v>
      </c>
      <c r="AH53" s="115">
        <f t="shared" si="147"/>
        <v>0</v>
      </c>
      <c r="AI53" s="115">
        <f t="shared" si="147"/>
        <v>0</v>
      </c>
      <c r="AJ53" s="115">
        <f t="shared" si="147"/>
        <v>0</v>
      </c>
      <c r="AK53" s="995">
        <f t="shared" si="147"/>
        <v>0</v>
      </c>
      <c r="AL53" s="115">
        <f t="shared" si="147"/>
        <v>0</v>
      </c>
      <c r="AM53" s="115">
        <f t="shared" si="147"/>
        <v>0</v>
      </c>
      <c r="AN53" s="115">
        <f t="shared" si="147"/>
        <v>0</v>
      </c>
      <c r="AO53" s="115">
        <f t="shared" si="147"/>
        <v>0</v>
      </c>
      <c r="AP53" s="995">
        <f t="shared" si="147"/>
        <v>0</v>
      </c>
      <c r="AQ53" s="115">
        <f t="shared" si="147"/>
        <v>0</v>
      </c>
      <c r="AR53" s="115">
        <f t="shared" si="148"/>
        <v>0</v>
      </c>
      <c r="AS53" s="115">
        <f t="shared" si="149"/>
        <v>0</v>
      </c>
      <c r="AT53" s="115">
        <f t="shared" si="150"/>
        <v>0</v>
      </c>
      <c r="AU53" s="995">
        <f t="shared" si="150"/>
        <v>0</v>
      </c>
      <c r="AV53" s="115">
        <f t="shared" si="151"/>
        <v>-113</v>
      </c>
      <c r="AW53" s="115">
        <f t="shared" si="152"/>
        <v>-120</v>
      </c>
      <c r="AX53" s="115">
        <f t="shared" si="153"/>
        <v>-134</v>
      </c>
      <c r="AY53" s="115">
        <f t="shared" si="154"/>
        <v>-127</v>
      </c>
      <c r="AZ53" s="995">
        <f t="shared" si="154"/>
        <v>-494</v>
      </c>
      <c r="BA53" s="115">
        <f t="shared" si="155"/>
        <v>2</v>
      </c>
      <c r="BB53" s="115">
        <f t="shared" si="156"/>
        <v>-33</v>
      </c>
      <c r="BC53" s="115">
        <f t="shared" si="157"/>
        <v>39</v>
      </c>
      <c r="BD53" s="115">
        <f t="shared" si="158"/>
        <v>8</v>
      </c>
      <c r="BE53" s="995">
        <f t="shared" si="158"/>
        <v>16</v>
      </c>
      <c r="BF53" s="115">
        <f t="shared" si="159"/>
        <v>-5</v>
      </c>
      <c r="BG53" s="115">
        <f t="shared" si="160"/>
        <v>9</v>
      </c>
      <c r="BH53" s="641">
        <f t="shared" si="161"/>
        <v>22</v>
      </c>
      <c r="BI53" s="115">
        <f t="shared" si="158"/>
        <v>2.50</v>
      </c>
      <c r="BJ53" s="995">
        <f t="shared" si="162"/>
        <v>28.50</v>
      </c>
      <c r="BK53" s="115">
        <f t="shared" si="163"/>
        <v>2.50</v>
      </c>
      <c r="BL53" s="115">
        <f t="shared" si="163"/>
        <v>2.50</v>
      </c>
      <c r="BM53" s="115">
        <f t="shared" si="163"/>
        <v>2.50</v>
      </c>
      <c r="BN53" s="115">
        <f t="shared" si="163"/>
        <v>2.50</v>
      </c>
      <c r="BO53" s="995">
        <f t="shared" si="163"/>
        <v>10</v>
      </c>
      <c r="BP53" s="995">
        <f t="shared" si="163"/>
        <v>10</v>
      </c>
      <c r="BQ53" s="995">
        <f t="shared" si="163"/>
        <v>10</v>
      </c>
      <c r="BR53" s="995">
        <f t="shared" si="163"/>
        <v>10</v>
      </c>
      <c r="BS53" s="305"/>
    </row>
    <row r="54" spans="1:71" s="300" customFormat="1" ht="15" hidden="1" outlineLevel="1">
      <c r="A54" s="304" t="s">
        <v>335</v>
      </c>
      <c r="B54" s="233"/>
      <c r="C54" s="993">
        <f>C45-C63</f>
        <v>-223</v>
      </c>
      <c r="D54" s="993">
        <f t="shared" si="164" ref="D54:AQ54">D45-D63</f>
        <v>-49</v>
      </c>
      <c r="E54" s="993">
        <f t="shared" si="164"/>
        <v>39</v>
      </c>
      <c r="F54" s="993">
        <f t="shared" si="164"/>
        <v>289</v>
      </c>
      <c r="G54" s="993">
        <f t="shared" si="164"/>
        <v>546</v>
      </c>
      <c r="H54" s="305">
        <f t="shared" si="164"/>
        <v>-95</v>
      </c>
      <c r="I54" s="305">
        <f t="shared" si="164"/>
        <v>343</v>
      </c>
      <c r="J54" s="305">
        <f t="shared" si="164"/>
        <v>499</v>
      </c>
      <c r="K54" s="305">
        <f t="shared" si="164"/>
        <v>78</v>
      </c>
      <c r="L54" s="993">
        <f t="shared" si="164"/>
        <v>685</v>
      </c>
      <c r="M54" s="305">
        <f t="shared" si="164"/>
        <v>-120</v>
      </c>
      <c r="N54" s="305">
        <f t="shared" si="164"/>
        <v>328</v>
      </c>
      <c r="O54" s="305">
        <f t="shared" si="164"/>
        <v>487</v>
      </c>
      <c r="P54" s="305">
        <f t="shared" si="164"/>
        <v>2</v>
      </c>
      <c r="Q54" s="993">
        <f t="shared" si="164"/>
        <v>562</v>
      </c>
      <c r="R54" s="305">
        <f t="shared" si="164"/>
        <v>-248</v>
      </c>
      <c r="S54" s="305">
        <f t="shared" si="164"/>
        <v>196</v>
      </c>
      <c r="T54" s="305">
        <f t="shared" si="164"/>
        <v>405</v>
      </c>
      <c r="U54" s="305">
        <f t="shared" si="164"/>
        <v>-192</v>
      </c>
      <c r="V54" s="993">
        <f t="shared" si="164"/>
        <v>161</v>
      </c>
      <c r="W54" s="305">
        <f t="shared" si="164"/>
        <v>-290</v>
      </c>
      <c r="X54" s="305">
        <f t="shared" si="164"/>
        <v>223</v>
      </c>
      <c r="Y54" s="305">
        <f t="shared" si="164"/>
        <v>415</v>
      </c>
      <c r="Z54" s="305">
        <f t="shared" si="164"/>
        <v>-133</v>
      </c>
      <c r="AA54" s="993">
        <f t="shared" si="164"/>
        <v>215</v>
      </c>
      <c r="AB54" s="305">
        <f t="shared" si="164"/>
        <v>-175</v>
      </c>
      <c r="AC54" s="305">
        <f t="shared" si="164"/>
        <v>352</v>
      </c>
      <c r="AD54" s="305">
        <f t="shared" si="164"/>
        <v>480</v>
      </c>
      <c r="AE54" s="305">
        <f t="shared" si="164"/>
        <v>-52</v>
      </c>
      <c r="AF54" s="993">
        <f t="shared" si="164"/>
        <v>605</v>
      </c>
      <c r="AG54" s="305">
        <f t="shared" si="164"/>
        <v>-180</v>
      </c>
      <c r="AH54" s="305">
        <f t="shared" si="164"/>
        <v>362</v>
      </c>
      <c r="AI54" s="305">
        <f t="shared" si="164"/>
        <v>530</v>
      </c>
      <c r="AJ54" s="305">
        <f t="shared" si="164"/>
        <v>-136</v>
      </c>
      <c r="AK54" s="993">
        <f t="shared" si="164"/>
        <v>576</v>
      </c>
      <c r="AL54" s="305">
        <f t="shared" si="164"/>
        <v>-289</v>
      </c>
      <c r="AM54" s="305">
        <f t="shared" si="164"/>
        <v>309</v>
      </c>
      <c r="AN54" s="305">
        <f t="shared" si="164"/>
        <v>443</v>
      </c>
      <c r="AO54" s="305">
        <f t="shared" si="164"/>
        <v>-275</v>
      </c>
      <c r="AP54" s="993">
        <f t="shared" si="164"/>
        <v>188</v>
      </c>
      <c r="AQ54" s="305">
        <f t="shared" si="164"/>
        <v>-128</v>
      </c>
      <c r="AR54" s="305">
        <f t="shared" si="148"/>
        <v>314</v>
      </c>
      <c r="AS54" s="305">
        <f t="shared" si="149"/>
        <v>807</v>
      </c>
      <c r="AT54" s="305">
        <f t="shared" si="150"/>
        <v>-89</v>
      </c>
      <c r="AU54" s="993">
        <f t="shared" si="150"/>
        <v>904</v>
      </c>
      <c r="AV54" s="305">
        <f t="shared" si="151"/>
        <v>263</v>
      </c>
      <c r="AW54" s="305">
        <f>AW45-AW63</f>
        <v>635</v>
      </c>
      <c r="AX54" s="305">
        <f t="shared" si="153"/>
        <v>880</v>
      </c>
      <c r="AY54" s="305">
        <f>AY45-AY63</f>
        <v>100</v>
      </c>
      <c r="AZ54" s="993">
        <f>AZ45-AZ63</f>
        <v>1878</v>
      </c>
      <c r="BA54" s="305">
        <f t="shared" si="155"/>
        <v>148</v>
      </c>
      <c r="BB54" s="305">
        <f t="shared" si="156"/>
        <v>699</v>
      </c>
      <c r="BC54" s="305">
        <f t="shared" si="157"/>
        <v>1034</v>
      </c>
      <c r="BD54" s="305">
        <f>BD45-BD63</f>
        <v>39</v>
      </c>
      <c r="BE54" s="993">
        <f>BE45-BE63</f>
        <v>1920</v>
      </c>
      <c r="BF54" s="305">
        <f t="shared" si="159"/>
        <v>283</v>
      </c>
      <c r="BG54" s="305">
        <f t="shared" si="160"/>
        <v>940</v>
      </c>
      <c r="BH54" s="743">
        <f t="shared" si="161"/>
        <v>1013</v>
      </c>
      <c r="BI54" s="92">
        <f>SUM(BI49:BI53)</f>
        <v>-1232.1329999999991</v>
      </c>
      <c r="BJ54" s="989">
        <f t="shared" si="165" ref="BJ54">SUM(BJ49:BJ53)</f>
        <v>1003.8669999999978</v>
      </c>
      <c r="BK54" s="92">
        <f t="shared" si="166" ref="BK54:BR54">SUM(BK49:BK53)</f>
        <v>182.93799999999996</v>
      </c>
      <c r="BL54" s="92">
        <f t="shared" si="166"/>
        <v>206.2639999999997</v>
      </c>
      <c r="BM54" s="92">
        <f t="shared" si="166"/>
        <v>212.30300000000048</v>
      </c>
      <c r="BN54" s="92">
        <f t="shared" si="166"/>
        <v>-1311.4223299999983</v>
      </c>
      <c r="BO54" s="989">
        <f t="shared" si="166"/>
        <v>-709.91732999999579</v>
      </c>
      <c r="BP54" s="989">
        <f t="shared" si="166"/>
        <v>617.16813889999844</v>
      </c>
      <c r="BQ54" s="989">
        <f t="shared" si="166"/>
        <v>821.2983756769994</v>
      </c>
      <c r="BR54" s="989">
        <f t="shared" si="166"/>
        <v>845.63732694731186</v>
      </c>
      <c r="BS54" s="305"/>
    </row>
    <row r="55" spans="1:71" s="300" customFormat="1" ht="15" hidden="1" outlineLevel="1">
      <c r="A55" s="110" t="s">
        <v>750</v>
      </c>
      <c r="B55" s="113"/>
      <c r="C55" s="998">
        <f>C46-C64</f>
        <v>0</v>
      </c>
      <c r="D55" s="998">
        <f t="shared" si="167" ref="D55:AI55">D46-D64</f>
        <v>-1</v>
      </c>
      <c r="E55" s="998">
        <f t="shared" si="167"/>
        <v>-1</v>
      </c>
      <c r="F55" s="998">
        <f t="shared" si="167"/>
        <v>1</v>
      </c>
      <c r="G55" s="998">
        <f t="shared" si="167"/>
        <v>0</v>
      </c>
      <c r="H55" s="58">
        <f t="shared" si="167"/>
        <v>0</v>
      </c>
      <c r="I55" s="58">
        <f t="shared" si="167"/>
        <v>0</v>
      </c>
      <c r="J55" s="58">
        <f t="shared" si="167"/>
        <v>0</v>
      </c>
      <c r="K55" s="58">
        <f t="shared" si="167"/>
        <v>0</v>
      </c>
      <c r="L55" s="998">
        <f t="shared" si="167"/>
        <v>0</v>
      </c>
      <c r="M55" s="58">
        <f t="shared" si="167"/>
        <v>0</v>
      </c>
      <c r="N55" s="58">
        <f t="shared" si="167"/>
        <v>0</v>
      </c>
      <c r="O55" s="58">
        <f t="shared" si="167"/>
        <v>0</v>
      </c>
      <c r="P55" s="58">
        <f t="shared" si="167"/>
        <v>0</v>
      </c>
      <c r="Q55" s="998">
        <f t="shared" si="167"/>
        <v>0</v>
      </c>
      <c r="R55" s="58">
        <f t="shared" si="167"/>
        <v>0</v>
      </c>
      <c r="S55" s="58">
        <f t="shared" si="167"/>
        <v>0</v>
      </c>
      <c r="T55" s="58">
        <f t="shared" si="167"/>
        <v>2</v>
      </c>
      <c r="U55" s="58">
        <f t="shared" si="167"/>
        <v>1</v>
      </c>
      <c r="V55" s="998">
        <f t="shared" si="167"/>
        <v>3</v>
      </c>
      <c r="W55" s="58">
        <f t="shared" si="167"/>
        <v>0</v>
      </c>
      <c r="X55" s="58">
        <f t="shared" si="167"/>
        <v>0</v>
      </c>
      <c r="Y55" s="58">
        <f t="shared" si="167"/>
        <v>0</v>
      </c>
      <c r="Z55" s="58">
        <f t="shared" si="167"/>
        <v>0</v>
      </c>
      <c r="AA55" s="998">
        <f t="shared" si="167"/>
        <v>0</v>
      </c>
      <c r="AB55" s="58">
        <f t="shared" si="167"/>
        <v>0</v>
      </c>
      <c r="AC55" s="58">
        <f t="shared" si="167"/>
        <v>0</v>
      </c>
      <c r="AD55" s="58">
        <f t="shared" si="167"/>
        <v>0</v>
      </c>
      <c r="AE55" s="58">
        <f t="shared" si="167"/>
        <v>0</v>
      </c>
      <c r="AF55" s="998">
        <f t="shared" si="167"/>
        <v>0</v>
      </c>
      <c r="AG55" s="58">
        <f t="shared" si="167"/>
        <v>0</v>
      </c>
      <c r="AH55" s="58">
        <f t="shared" si="167"/>
        <v>0</v>
      </c>
      <c r="AI55" s="58">
        <f t="shared" si="167"/>
        <v>0</v>
      </c>
      <c r="AJ55" s="58">
        <f t="shared" si="168" ref="AJ55:AQ55">AJ46-AJ64</f>
        <v>0</v>
      </c>
      <c r="AK55" s="998">
        <f t="shared" si="168"/>
        <v>0</v>
      </c>
      <c r="AL55" s="58">
        <f t="shared" si="168"/>
        <v>0</v>
      </c>
      <c r="AM55" s="58">
        <f t="shared" si="168"/>
        <v>0</v>
      </c>
      <c r="AN55" s="58">
        <f t="shared" si="168"/>
        <v>0</v>
      </c>
      <c r="AO55" s="58">
        <f t="shared" si="168"/>
        <v>0</v>
      </c>
      <c r="AP55" s="998">
        <f t="shared" si="168"/>
        <v>0</v>
      </c>
      <c r="AQ55" s="58">
        <f t="shared" si="168"/>
        <v>0</v>
      </c>
      <c r="AR55" s="58">
        <f t="shared" si="148"/>
        <v>0</v>
      </c>
      <c r="AS55" s="58">
        <f t="shared" si="149"/>
        <v>0</v>
      </c>
      <c r="AT55" s="58">
        <f t="shared" si="150"/>
        <v>0</v>
      </c>
      <c r="AU55" s="998">
        <f t="shared" si="150"/>
        <v>0</v>
      </c>
      <c r="AV55" s="58">
        <f t="shared" si="151"/>
        <v>0</v>
      </c>
      <c r="AW55" s="58">
        <f>AW46-AW64</f>
        <v>0</v>
      </c>
      <c r="AX55" s="58">
        <f t="shared" si="153"/>
        <v>0</v>
      </c>
      <c r="AY55" s="58">
        <f>AY46-AY64</f>
        <v>0</v>
      </c>
      <c r="AZ55" s="998">
        <f>AZ46-AZ64</f>
        <v>0</v>
      </c>
      <c r="BA55" s="58">
        <f t="shared" si="155"/>
        <v>0</v>
      </c>
      <c r="BB55" s="58">
        <f t="shared" si="156"/>
        <v>0</v>
      </c>
      <c r="BC55" s="58">
        <f t="shared" si="157"/>
        <v>0</v>
      </c>
      <c r="BD55" s="58">
        <f>BD46-BD64</f>
        <v>0</v>
      </c>
      <c r="BE55" s="998">
        <f>BE46-BE64</f>
        <v>0</v>
      </c>
      <c r="BF55" s="58">
        <f t="shared" si="159"/>
        <v>0</v>
      </c>
      <c r="BG55" s="58">
        <f t="shared" si="160"/>
        <v>0</v>
      </c>
      <c r="BH55" s="744">
        <f t="shared" si="161"/>
        <v>0</v>
      </c>
      <c r="BI55" s="115">
        <f>BI46-BI64</f>
        <v>0</v>
      </c>
      <c r="BJ55" s="995">
        <f t="shared" si="169" ref="BJ55">BJ46-BJ64</f>
        <v>0</v>
      </c>
      <c r="BK55" s="115">
        <f t="shared" si="170" ref="BK55:BR55">BK46-BK64</f>
        <v>0</v>
      </c>
      <c r="BL55" s="115">
        <f t="shared" si="170"/>
        <v>0</v>
      </c>
      <c r="BM55" s="115">
        <f t="shared" si="170"/>
        <v>0</v>
      </c>
      <c r="BN55" s="115">
        <f t="shared" si="170"/>
        <v>0</v>
      </c>
      <c r="BO55" s="995">
        <f t="shared" si="170"/>
        <v>0</v>
      </c>
      <c r="BP55" s="995">
        <f t="shared" si="170"/>
        <v>0</v>
      </c>
      <c r="BQ55" s="995">
        <f t="shared" si="170"/>
        <v>0</v>
      </c>
      <c r="BR55" s="995">
        <f t="shared" si="170"/>
        <v>0</v>
      </c>
      <c r="BS55" s="305"/>
    </row>
    <row r="56" spans="1:71" s="51" customFormat="1" ht="15" hidden="1" outlineLevel="1">
      <c r="A56" s="109" t="s">
        <v>547</v>
      </c>
      <c r="B56" s="391"/>
      <c r="C56" s="999">
        <f t="shared" si="171" ref="C56:AK56">SUM(C54:C55)</f>
        <v>-223</v>
      </c>
      <c r="D56" s="999">
        <f t="shared" si="171"/>
        <v>-50</v>
      </c>
      <c r="E56" s="999">
        <f t="shared" si="171"/>
        <v>38</v>
      </c>
      <c r="F56" s="999">
        <f t="shared" si="171"/>
        <v>290</v>
      </c>
      <c r="G56" s="999">
        <f t="shared" si="171"/>
        <v>546</v>
      </c>
      <c r="H56" s="57">
        <f t="shared" si="171"/>
        <v>-95</v>
      </c>
      <c r="I56" s="57">
        <f t="shared" si="171"/>
        <v>343</v>
      </c>
      <c r="J56" s="57">
        <f t="shared" si="171"/>
        <v>499</v>
      </c>
      <c r="K56" s="57">
        <f t="shared" si="171"/>
        <v>78</v>
      </c>
      <c r="L56" s="999">
        <f t="shared" si="171"/>
        <v>685</v>
      </c>
      <c r="M56" s="57">
        <f t="shared" si="171"/>
        <v>-120</v>
      </c>
      <c r="N56" s="57">
        <f t="shared" si="171"/>
        <v>328</v>
      </c>
      <c r="O56" s="57">
        <f t="shared" si="171"/>
        <v>487</v>
      </c>
      <c r="P56" s="57">
        <f t="shared" si="171"/>
        <v>2</v>
      </c>
      <c r="Q56" s="999">
        <f t="shared" si="171"/>
        <v>562</v>
      </c>
      <c r="R56" s="57">
        <f t="shared" si="171"/>
        <v>-248</v>
      </c>
      <c r="S56" s="57">
        <f t="shared" si="171"/>
        <v>196</v>
      </c>
      <c r="T56" s="57">
        <f t="shared" si="171"/>
        <v>407</v>
      </c>
      <c r="U56" s="57">
        <f t="shared" si="171"/>
        <v>-191</v>
      </c>
      <c r="V56" s="999">
        <f t="shared" si="171"/>
        <v>164</v>
      </c>
      <c r="W56" s="57">
        <f t="shared" si="171"/>
        <v>-290</v>
      </c>
      <c r="X56" s="57">
        <f t="shared" si="171"/>
        <v>223</v>
      </c>
      <c r="Y56" s="57">
        <f t="shared" si="171"/>
        <v>415</v>
      </c>
      <c r="Z56" s="57">
        <f t="shared" si="171"/>
        <v>-133</v>
      </c>
      <c r="AA56" s="999">
        <f t="shared" si="171"/>
        <v>215</v>
      </c>
      <c r="AB56" s="57">
        <f t="shared" si="171"/>
        <v>-175</v>
      </c>
      <c r="AC56" s="57">
        <f t="shared" si="171"/>
        <v>352</v>
      </c>
      <c r="AD56" s="57">
        <f t="shared" si="171"/>
        <v>480</v>
      </c>
      <c r="AE56" s="57">
        <f t="shared" si="171"/>
        <v>-52</v>
      </c>
      <c r="AF56" s="999">
        <f t="shared" si="171"/>
        <v>605</v>
      </c>
      <c r="AG56" s="57">
        <f t="shared" si="171"/>
        <v>-180</v>
      </c>
      <c r="AH56" s="57">
        <f t="shared" si="171"/>
        <v>362</v>
      </c>
      <c r="AI56" s="57">
        <f t="shared" si="171"/>
        <v>530</v>
      </c>
      <c r="AJ56" s="57">
        <f t="shared" si="171"/>
        <v>-136</v>
      </c>
      <c r="AK56" s="999">
        <f t="shared" si="171"/>
        <v>576</v>
      </c>
      <c r="AL56" s="57">
        <f>SUM(AL54:AL55)</f>
        <v>-289</v>
      </c>
      <c r="AM56" s="57">
        <f>SUM(AM54:AM55)</f>
        <v>309</v>
      </c>
      <c r="AN56" s="57">
        <f>SUM(AN54:AN55)</f>
        <v>443</v>
      </c>
      <c r="AO56" s="57">
        <f t="shared" si="172" ref="AO56:AP56">SUM(AO54:AO55)</f>
        <v>-275</v>
      </c>
      <c r="AP56" s="999">
        <f t="shared" si="172"/>
        <v>188</v>
      </c>
      <c r="AQ56" s="57">
        <f t="shared" si="173" ref="AQ56:AV56">SUM(AQ54:AQ55)</f>
        <v>-128</v>
      </c>
      <c r="AR56" s="57">
        <f t="shared" si="173"/>
        <v>314</v>
      </c>
      <c r="AS56" s="57">
        <f t="shared" si="173"/>
        <v>807</v>
      </c>
      <c r="AT56" s="57">
        <f t="shared" si="173"/>
        <v>-89</v>
      </c>
      <c r="AU56" s="999">
        <f t="shared" si="173"/>
        <v>904</v>
      </c>
      <c r="AV56" s="57">
        <f t="shared" si="173"/>
        <v>263</v>
      </c>
      <c r="AW56" s="57">
        <f t="shared" si="174" ref="AW56:BJ56">SUM(AW54:AW55)</f>
        <v>635</v>
      </c>
      <c r="AX56" s="57">
        <f t="shared" si="174"/>
        <v>880</v>
      </c>
      <c r="AY56" s="57">
        <f t="shared" si="174"/>
        <v>100</v>
      </c>
      <c r="AZ56" s="999">
        <f t="shared" si="174"/>
        <v>1878</v>
      </c>
      <c r="BA56" s="57">
        <f t="shared" si="175" ref="BA56:BI56">SUM(BA54:BA55)</f>
        <v>148</v>
      </c>
      <c r="BB56" s="57">
        <f t="shared" si="175"/>
        <v>699</v>
      </c>
      <c r="BC56" s="57">
        <f t="shared" si="175"/>
        <v>1034</v>
      </c>
      <c r="BD56" s="57">
        <f t="shared" si="175"/>
        <v>39</v>
      </c>
      <c r="BE56" s="999">
        <f t="shared" si="175"/>
        <v>1920</v>
      </c>
      <c r="BF56" s="57">
        <f>SUM(BF54:BF55)</f>
        <v>283</v>
      </c>
      <c r="BG56" s="57">
        <f>SUM(BG54:BG55)</f>
        <v>940</v>
      </c>
      <c r="BH56" s="745">
        <f>SUM(BH54:BH55)</f>
        <v>1013</v>
      </c>
      <c r="BI56" s="128">
        <f t="shared" si="175"/>
        <v>-1232.1329999999991</v>
      </c>
      <c r="BJ56" s="1000">
        <f t="shared" si="174"/>
        <v>1003.8669999999978</v>
      </c>
      <c r="BK56" s="128">
        <f t="shared" si="176" ref="BK56:BR56">SUM(BK54:BK55)</f>
        <v>182.93799999999996</v>
      </c>
      <c r="BL56" s="128">
        <f t="shared" si="176"/>
        <v>206.2639999999997</v>
      </c>
      <c r="BM56" s="128">
        <f t="shared" si="176"/>
        <v>212.30300000000048</v>
      </c>
      <c r="BN56" s="128">
        <f t="shared" si="176"/>
        <v>-1311.4223299999983</v>
      </c>
      <c r="BO56" s="1000">
        <f t="shared" si="176"/>
        <v>-709.91732999999579</v>
      </c>
      <c r="BP56" s="1000">
        <f t="shared" si="176"/>
        <v>617.16813889999844</v>
      </c>
      <c r="BQ56" s="1000">
        <f t="shared" si="176"/>
        <v>821.2983756769994</v>
      </c>
      <c r="BR56" s="1000">
        <f t="shared" si="176"/>
        <v>845.63732694731186</v>
      </c>
      <c r="BS56" s="57"/>
    </row>
    <row r="57" spans="1:71" s="300" customFormat="1" ht="15" collapsed="1">
      <c r="A57" s="111"/>
      <c r="B57" s="233"/>
      <c r="C57" s="989"/>
      <c r="D57" s="989"/>
      <c r="E57" s="989"/>
      <c r="F57" s="989"/>
      <c r="G57" s="989"/>
      <c r="H57" s="92"/>
      <c r="I57" s="92"/>
      <c r="J57" s="92"/>
      <c r="K57" s="92"/>
      <c r="L57" s="989"/>
      <c r="M57" s="92"/>
      <c r="N57" s="92"/>
      <c r="O57" s="92"/>
      <c r="P57" s="92"/>
      <c r="Q57" s="989"/>
      <c r="R57" s="92"/>
      <c r="S57" s="92"/>
      <c r="T57" s="92"/>
      <c r="U57" s="92"/>
      <c r="V57" s="989"/>
      <c r="W57" s="92"/>
      <c r="X57" s="92"/>
      <c r="Y57" s="92"/>
      <c r="Z57" s="92"/>
      <c r="AA57" s="989"/>
      <c r="AB57" s="92"/>
      <c r="AC57" s="92"/>
      <c r="AD57" s="92"/>
      <c r="AE57" s="92"/>
      <c r="AF57" s="989"/>
      <c r="AG57" s="92"/>
      <c r="AH57" s="92"/>
      <c r="AI57" s="92"/>
      <c r="AJ57" s="92"/>
      <c r="AK57" s="989"/>
      <c r="AL57" s="92"/>
      <c r="AM57" s="92"/>
      <c r="AN57" s="92"/>
      <c r="AO57" s="92"/>
      <c r="AP57" s="989"/>
      <c r="AQ57" s="92"/>
      <c r="AR57" s="92"/>
      <c r="AS57" s="92"/>
      <c r="AT57" s="92"/>
      <c r="AU57" s="989"/>
      <c r="AV57" s="92"/>
      <c r="AW57" s="92"/>
      <c r="AX57" s="92"/>
      <c r="AY57" s="92"/>
      <c r="AZ57" s="989"/>
      <c r="BA57" s="92"/>
      <c r="BB57" s="92"/>
      <c r="BC57" s="92"/>
      <c r="BD57" s="92"/>
      <c r="BE57" s="989"/>
      <c r="BF57" s="92"/>
      <c r="BG57" s="92"/>
      <c r="BH57" s="464"/>
      <c r="BI57" s="92"/>
      <c r="BJ57" s="989"/>
      <c r="BK57" s="92"/>
      <c r="BL57" s="92"/>
      <c r="BM57" s="92"/>
      <c r="BN57" s="92"/>
      <c r="BO57" s="989"/>
      <c r="BP57" s="989"/>
      <c r="BQ57" s="989"/>
      <c r="BR57" s="989"/>
      <c r="BS57" s="305"/>
    </row>
    <row r="58" spans="1:71" s="300" customFormat="1" ht="15">
      <c r="A58" s="408" t="s">
        <v>760</v>
      </c>
      <c r="B58" s="233"/>
      <c r="C58" s="988">
        <f>16642+966</f>
        <v>17608</v>
      </c>
      <c r="D58" s="988">
        <f>16530+905</f>
        <v>17435</v>
      </c>
      <c r="E58" s="988">
        <v>17299</v>
      </c>
      <c r="F58" s="988">
        <v>17928</v>
      </c>
      <c r="G58" s="988">
        <v>18449</v>
      </c>
      <c r="H58" s="897">
        <v>4712</v>
      </c>
      <c r="I58" s="897">
        <v>4824</v>
      </c>
      <c r="J58" s="897">
        <v>4890</v>
      </c>
      <c r="K58" s="92">
        <f>L58-H58-I58-J58</f>
        <v>4918</v>
      </c>
      <c r="L58" s="988">
        <v>19344</v>
      </c>
      <c r="M58" s="897">
        <v>4979</v>
      </c>
      <c r="N58" s="897">
        <v>5086</v>
      </c>
      <c r="O58" s="897">
        <v>5154</v>
      </c>
      <c r="P58" s="92">
        <f>Q58-M58-N58-O58</f>
        <v>5191</v>
      </c>
      <c r="Q58" s="988">
        <v>20410</v>
      </c>
      <c r="R58" s="897">
        <v>5220</v>
      </c>
      <c r="S58" s="897">
        <v>5306</v>
      </c>
      <c r="T58" s="897">
        <v>5353</v>
      </c>
      <c r="U58" s="92">
        <f>V58-R58-S58-T58</f>
        <v>5385</v>
      </c>
      <c r="V58" s="988">
        <v>21264</v>
      </c>
      <c r="W58" s="897">
        <v>5388</v>
      </c>
      <c r="X58" s="897">
        <v>5438</v>
      </c>
      <c r="Y58" s="897">
        <v>5501</v>
      </c>
      <c r="Z58" s="92">
        <f>AA58-W58-X58-Y58</f>
        <v>5551</v>
      </c>
      <c r="AA58" s="988">
        <v>21878</v>
      </c>
      <c r="AB58" s="897">
        <v>5591</v>
      </c>
      <c r="AC58" s="897">
        <v>5705</v>
      </c>
      <c r="AD58" s="897">
        <v>5798</v>
      </c>
      <c r="AE58" s="92">
        <f>AF58-AB58-AC58-AD58</f>
        <v>5876</v>
      </c>
      <c r="AF58" s="988">
        <v>22970</v>
      </c>
      <c r="AG58" s="897">
        <v>5930</v>
      </c>
      <c r="AH58" s="897">
        <v>6035</v>
      </c>
      <c r="AI58" s="897">
        <v>6080</v>
      </c>
      <c r="AJ58" s="92">
        <f>AK58-AG58-AH58-AI58</f>
        <v>6143</v>
      </c>
      <c r="AK58" s="988">
        <v>24188</v>
      </c>
      <c r="AL58" s="897">
        <v>6155</v>
      </c>
      <c r="AM58" s="897">
        <v>6172</v>
      </c>
      <c r="AN58" s="897">
        <v>6210</v>
      </c>
      <c r="AO58" s="897">
        <v>6103</v>
      </c>
      <c r="AP58" s="989">
        <f>SUM(AL58,AM58,AN58,AO58)</f>
        <v>24640</v>
      </c>
      <c r="AQ58" s="897">
        <v>6809</v>
      </c>
      <c r="AR58" s="897">
        <v>6883</v>
      </c>
      <c r="AS58" s="897">
        <v>6912</v>
      </c>
      <c r="AT58" s="897">
        <v>7019</v>
      </c>
      <c r="AU58" s="989">
        <f>SUM(AQ58,AR58,AS58,AT58)</f>
        <v>27623</v>
      </c>
      <c r="AV58" s="897">
        <v>7081</v>
      </c>
      <c r="AW58" s="897">
        <v>7348</v>
      </c>
      <c r="AX58" s="897">
        <v>7545</v>
      </c>
      <c r="AY58" s="897">
        <v>7741</v>
      </c>
      <c r="AZ58" s="989">
        <f>SUM(AV58,AW58,AX58,AY58)</f>
        <v>29715</v>
      </c>
      <c r="BA58" s="897">
        <v>7908</v>
      </c>
      <c r="BB58" s="897">
        <v>8121</v>
      </c>
      <c r="BC58" s="897">
        <v>8345</v>
      </c>
      <c r="BD58" s="897">
        <v>8566</v>
      </c>
      <c r="BE58" s="989">
        <f>SUM(BA58,BB58,BC58,BD58)</f>
        <v>32940</v>
      </c>
      <c r="BF58" s="897">
        <v>8778</v>
      </c>
      <c r="BG58" s="897">
        <v>9079</v>
      </c>
      <c r="BH58" s="898">
        <v>9270</v>
      </c>
      <c r="BI58" s="92">
        <f t="shared" si="177" ref="BI58:BI62">BI40*BI128</f>
        <v>9658.3899999999994</v>
      </c>
      <c r="BJ58" s="989">
        <f>SUM(BF58,BG58,BH58,BI58)</f>
        <v>36785.389999999999</v>
      </c>
      <c r="BK58" s="92">
        <f t="shared" si="178" ref="BK58:BN62">BK40*BK128</f>
        <v>10189.773000000001</v>
      </c>
      <c r="BL58" s="92">
        <f t="shared" si="178"/>
        <v>10110.276000000002</v>
      </c>
      <c r="BM58" s="92">
        <f t="shared" si="178"/>
        <v>10387.971000000001</v>
      </c>
      <c r="BN58" s="92">
        <f t="shared" si="178"/>
        <v>10624.228999999999</v>
      </c>
      <c r="BO58" s="989">
        <f>SUM(BK58,BL58,BM58,BN58)</f>
        <v>41312.249000000003</v>
      </c>
      <c r="BP58" s="989">
        <f t="shared" si="179" ref="BP58:BR62">BP40*BP128</f>
        <v>41029.118262000011</v>
      </c>
      <c r="BQ58" s="989">
        <f t="shared" si="179"/>
        <v>42259.99180986001</v>
      </c>
      <c r="BR58" s="989">
        <f t="shared" si="179"/>
        <v>43527.791564155807</v>
      </c>
      <c r="BS58" s="305"/>
    </row>
    <row r="59" spans="1:71" s="300" customFormat="1" ht="15">
      <c r="A59" s="408" t="s">
        <v>761</v>
      </c>
      <c r="B59" s="233"/>
      <c r="C59" s="988">
        <v>6077</v>
      </c>
      <c r="D59" s="988">
        <v>6078</v>
      </c>
      <c r="E59" s="988">
        <v>6200</v>
      </c>
      <c r="F59" s="988">
        <v>6359</v>
      </c>
      <c r="G59" s="988">
        <v>6613</v>
      </c>
      <c r="H59" s="897">
        <v>1697</v>
      </c>
      <c r="I59" s="897">
        <v>1714</v>
      </c>
      <c r="J59" s="897">
        <v>1740</v>
      </c>
      <c r="K59" s="92">
        <f>L59-H59-I59-J59</f>
        <v>1753</v>
      </c>
      <c r="L59" s="988">
        <v>6904</v>
      </c>
      <c r="M59" s="897">
        <v>1761</v>
      </c>
      <c r="N59" s="897">
        <v>1775</v>
      </c>
      <c r="O59" s="897">
        <v>1795</v>
      </c>
      <c r="P59" s="92">
        <f>Q59-M59-N59-O59</f>
        <v>1805</v>
      </c>
      <c r="Q59" s="988">
        <v>7136</v>
      </c>
      <c r="R59" s="897">
        <v>1810</v>
      </c>
      <c r="S59" s="897">
        <v>1815</v>
      </c>
      <c r="T59" s="897">
        <v>1813</v>
      </c>
      <c r="U59" s="92">
        <f>V59-R59-S59-T59</f>
        <v>1819</v>
      </c>
      <c r="V59" s="988">
        <v>7257</v>
      </c>
      <c r="W59" s="897">
        <v>1815</v>
      </c>
      <c r="X59" s="897">
        <v>1815</v>
      </c>
      <c r="Y59" s="897">
        <v>1832</v>
      </c>
      <c r="Z59" s="92">
        <f>AA59-W59-X59-Y59</f>
        <v>1848</v>
      </c>
      <c r="AA59" s="988">
        <v>7310</v>
      </c>
      <c r="AB59" s="897">
        <v>1848</v>
      </c>
      <c r="AC59" s="897">
        <v>1864</v>
      </c>
      <c r="AD59" s="897">
        <v>1891</v>
      </c>
      <c r="AE59" s="92">
        <f>AF59-AB59-AC59-AD59</f>
        <v>1914</v>
      </c>
      <c r="AF59" s="988">
        <v>7517</v>
      </c>
      <c r="AG59" s="897">
        <v>1935</v>
      </c>
      <c r="AH59" s="897">
        <v>1958</v>
      </c>
      <c r="AI59" s="897">
        <v>1997</v>
      </c>
      <c r="AJ59" s="92">
        <f>AK59-AG59-AH59-AI59</f>
        <v>2022</v>
      </c>
      <c r="AK59" s="988">
        <v>7912</v>
      </c>
      <c r="AL59" s="897">
        <v>2037</v>
      </c>
      <c r="AM59" s="897">
        <v>2054</v>
      </c>
      <c r="AN59" s="897">
        <v>2073</v>
      </c>
      <c r="AO59" s="897">
        <v>2090</v>
      </c>
      <c r="AP59" s="989">
        <f>SUM(AL59,AM59,AN59,AO59)</f>
        <v>8254</v>
      </c>
      <c r="AQ59" s="897">
        <v>2392</v>
      </c>
      <c r="AR59" s="897">
        <v>2411</v>
      </c>
      <c r="AS59" s="897">
        <v>2522</v>
      </c>
      <c r="AT59" s="897">
        <v>2602</v>
      </c>
      <c r="AU59" s="989">
        <f>SUM(AQ59,AR59,AS59,AT59)</f>
        <v>9927</v>
      </c>
      <c r="AV59" s="897">
        <v>2490</v>
      </c>
      <c r="AW59" s="897">
        <v>2566</v>
      </c>
      <c r="AX59" s="897">
        <v>2642</v>
      </c>
      <c r="AY59" s="897">
        <v>2720</v>
      </c>
      <c r="AZ59" s="989">
        <f>SUM(AV59,AW59,AX59,AY59)</f>
        <v>10418</v>
      </c>
      <c r="BA59" s="897">
        <v>2810</v>
      </c>
      <c r="BB59" s="897">
        <v>2883</v>
      </c>
      <c r="BC59" s="897">
        <v>2969</v>
      </c>
      <c r="BD59" s="897">
        <v>3077</v>
      </c>
      <c r="BE59" s="989">
        <f>SUM(BA59,BB59,BC59,BD59)</f>
        <v>11739</v>
      </c>
      <c r="BF59" s="897">
        <v>3154</v>
      </c>
      <c r="BG59" s="897">
        <v>3255</v>
      </c>
      <c r="BH59" s="898">
        <v>3403</v>
      </c>
      <c r="BI59" s="92">
        <f t="shared" si="177"/>
        <v>2927.0639999999999</v>
      </c>
      <c r="BJ59" s="989">
        <f>SUM(BF59,BG59,BH59,BI59)</f>
        <v>12739.064</v>
      </c>
      <c r="BK59" s="92">
        <f t="shared" si="178"/>
        <v>2957.346</v>
      </c>
      <c r="BL59" s="92">
        <f t="shared" si="178"/>
        <v>3956.5050000000001</v>
      </c>
      <c r="BM59" s="92">
        <f t="shared" si="178"/>
        <v>4191.1170000000002</v>
      </c>
      <c r="BN59" s="92">
        <f t="shared" si="178"/>
        <v>3073.4171999999999</v>
      </c>
      <c r="BO59" s="989">
        <f>SUM(BK59,BL59,BM59,BN59)</f>
        <v>14178.385200000001</v>
      </c>
      <c r="BP59" s="989">
        <f t="shared" si="179"/>
        <v>14752.754478000001</v>
      </c>
      <c r="BQ59" s="989">
        <f t="shared" si="179"/>
        <v>15041.848858680001</v>
      </c>
      <c r="BR59" s="989">
        <f t="shared" si="179"/>
        <v>15493.104324440403</v>
      </c>
      <c r="BS59" s="305"/>
    </row>
    <row r="60" spans="1:71" s="300" customFormat="1" ht="15">
      <c r="A60" s="408" t="s">
        <v>762</v>
      </c>
      <c r="B60" s="233"/>
      <c r="C60" s="988">
        <v>2510</v>
      </c>
      <c r="D60" s="988">
        <v>2442</v>
      </c>
      <c r="E60" s="988">
        <v>1566</v>
      </c>
      <c r="F60" s="988">
        <v>1594</v>
      </c>
      <c r="G60" s="988">
        <v>1629</v>
      </c>
      <c r="H60" s="897">
        <v>412</v>
      </c>
      <c r="I60" s="897">
        <v>414</v>
      </c>
      <c r="J60" s="897">
        <v>418</v>
      </c>
      <c r="K60" s="92">
        <f>L60-H60-I60-J60</f>
        <v>418</v>
      </c>
      <c r="L60" s="988">
        <v>1662</v>
      </c>
      <c r="M60" s="897">
        <v>420</v>
      </c>
      <c r="N60" s="897">
        <v>423</v>
      </c>
      <c r="O60" s="897">
        <v>425</v>
      </c>
      <c r="P60" s="92">
        <f>Q60-M60-N60-O60</f>
        <v>424</v>
      </c>
      <c r="Q60" s="988">
        <v>1692</v>
      </c>
      <c r="R60" s="897">
        <v>421</v>
      </c>
      <c r="S60" s="897">
        <v>424</v>
      </c>
      <c r="T60" s="897">
        <v>426</v>
      </c>
      <c r="U60" s="92">
        <f>V60-R60-S60-T60</f>
        <v>429</v>
      </c>
      <c r="V60" s="988">
        <v>1700</v>
      </c>
      <c r="W60" s="897">
        <v>431</v>
      </c>
      <c r="X60" s="897">
        <v>436</v>
      </c>
      <c r="Y60" s="897">
        <v>439</v>
      </c>
      <c r="Z60" s="92">
        <f>AA60-W60-X60-Y60</f>
        <v>444</v>
      </c>
      <c r="AA60" s="988">
        <v>1750</v>
      </c>
      <c r="AB60" s="897">
        <v>444</v>
      </c>
      <c r="AC60" s="897">
        <v>455</v>
      </c>
      <c r="AD60" s="897">
        <v>455</v>
      </c>
      <c r="AE60" s="92">
        <f>AF60-AB60-AC60-AD60</f>
        <v>454</v>
      </c>
      <c r="AF60" s="988">
        <v>1808</v>
      </c>
      <c r="AG60" s="897">
        <v>459</v>
      </c>
      <c r="AH60" s="897">
        <v>462</v>
      </c>
      <c r="AI60" s="897">
        <v>469</v>
      </c>
      <c r="AJ60" s="92">
        <f>AK60-AG60-AH60-AI60</f>
        <v>471</v>
      </c>
      <c r="AK60" s="988">
        <v>1861</v>
      </c>
      <c r="AL60" s="897">
        <v>471</v>
      </c>
      <c r="AM60" s="897">
        <v>478</v>
      </c>
      <c r="AN60" s="897">
        <v>486</v>
      </c>
      <c r="AO60" s="897">
        <v>484</v>
      </c>
      <c r="AP60" s="989">
        <f>SUM(AL60,AM60,AN60,AO60)</f>
        <v>1919</v>
      </c>
      <c r="AQ60" s="897">
        <v>505</v>
      </c>
      <c r="AR60" s="897">
        <v>519</v>
      </c>
      <c r="AS60" s="897">
        <v>521</v>
      </c>
      <c r="AT60" s="897">
        <v>532</v>
      </c>
      <c r="AU60" s="989">
        <f>SUM(AQ60,AR60,AS60,AT60)</f>
        <v>2077</v>
      </c>
      <c r="AV60" s="897">
        <v>531</v>
      </c>
      <c r="AW60" s="897">
        <v>545</v>
      </c>
      <c r="AX60" s="897">
        <v>540</v>
      </c>
      <c r="AY60" s="897">
        <v>543</v>
      </c>
      <c r="AZ60" s="989">
        <f>SUM(AV60,AW60,AX60,AY60)</f>
        <v>2159</v>
      </c>
      <c r="BA60" s="897">
        <v>562</v>
      </c>
      <c r="BB60" s="897">
        <v>587</v>
      </c>
      <c r="BC60" s="897">
        <v>608</v>
      </c>
      <c r="BD60" s="897">
        <v>630</v>
      </c>
      <c r="BE60" s="989">
        <f>SUM(BA60,BB60,BC60,BD60)</f>
        <v>2387</v>
      </c>
      <c r="BF60" s="897">
        <v>659</v>
      </c>
      <c r="BG60" s="897">
        <v>701</v>
      </c>
      <c r="BH60" s="898">
        <v>718</v>
      </c>
      <c r="BI60" s="92">
        <f t="shared" si="177"/>
        <v>577.22</v>
      </c>
      <c r="BJ60" s="989">
        <f>SUM(BF60,BG60,BH60,BI60)</f>
        <v>2655.2200000000003</v>
      </c>
      <c r="BK60" s="92">
        <f t="shared" si="178"/>
        <v>679.14</v>
      </c>
      <c r="BL60" s="92">
        <f t="shared" si="178"/>
        <v>869.505</v>
      </c>
      <c r="BM60" s="92">
        <f t="shared" si="178"/>
        <v>840.69299999999998</v>
      </c>
      <c r="BN60" s="92">
        <f t="shared" si="178"/>
        <v>606.08100000000002</v>
      </c>
      <c r="BO60" s="989">
        <f>SUM(BK60,BL60,BM60,BN60)</f>
        <v>2995.4189999999999</v>
      </c>
      <c r="BP60" s="989">
        <f t="shared" si="179"/>
        <v>3116.7640350000001</v>
      </c>
      <c r="BQ60" s="989">
        <f t="shared" si="179"/>
        <v>3177.8400171000003</v>
      </c>
      <c r="BR60" s="989">
        <f t="shared" si="179"/>
        <v>3273.1752176130003</v>
      </c>
      <c r="BS60" s="305"/>
    </row>
    <row r="61" spans="1:71" s="300" customFormat="1" ht="15">
      <c r="A61" s="408" t="s">
        <v>763</v>
      </c>
      <c r="B61" s="233"/>
      <c r="C61" s="988">
        <v>0</v>
      </c>
      <c r="D61" s="988">
        <v>0</v>
      </c>
      <c r="E61" s="988">
        <v>495</v>
      </c>
      <c r="F61" s="988">
        <v>462</v>
      </c>
      <c r="G61" s="988">
        <v>456</v>
      </c>
      <c r="H61" s="897">
        <v>110</v>
      </c>
      <c r="I61" s="897">
        <v>121</v>
      </c>
      <c r="J61" s="897">
        <v>120</v>
      </c>
      <c r="K61" s="92">
        <f>L61-H61-I61-J61</f>
        <v>125</v>
      </c>
      <c r="L61" s="988">
        <v>476</v>
      </c>
      <c r="M61" s="897">
        <v>125</v>
      </c>
      <c r="N61" s="897">
        <v>128</v>
      </c>
      <c r="O61" s="897">
        <v>128</v>
      </c>
      <c r="P61" s="92">
        <f>Q61-M61-N61-O61</f>
        <v>129</v>
      </c>
      <c r="Q61" s="988">
        <v>510</v>
      </c>
      <c r="R61" s="897">
        <v>129</v>
      </c>
      <c r="S61" s="897">
        <v>127</v>
      </c>
      <c r="T61" s="897">
        <v>127</v>
      </c>
      <c r="U61" s="92">
        <f>V61-R61-S61-T61</f>
        <v>123</v>
      </c>
      <c r="V61" s="988">
        <v>506</v>
      </c>
      <c r="W61" s="897">
        <v>125</v>
      </c>
      <c r="X61" s="897">
        <v>118</v>
      </c>
      <c r="Y61" s="897">
        <v>124</v>
      </c>
      <c r="Z61" s="92">
        <f>AA61-W61-X61-Y61</f>
        <v>128</v>
      </c>
      <c r="AA61" s="988">
        <v>495</v>
      </c>
      <c r="AB61" s="897">
        <v>136</v>
      </c>
      <c r="AC61" s="897">
        <v>165</v>
      </c>
      <c r="AD61" s="897">
        <v>176</v>
      </c>
      <c r="AE61" s="92">
        <f>AF61-AB61-AC61-AD61</f>
        <v>178</v>
      </c>
      <c r="AF61" s="988">
        <v>655</v>
      </c>
      <c r="AG61" s="897">
        <v>183</v>
      </c>
      <c r="AH61" s="897">
        <v>226</v>
      </c>
      <c r="AI61" s="897">
        <v>236</v>
      </c>
      <c r="AJ61" s="92">
        <f>AK61-AG61-AH61-AI61</f>
        <v>237</v>
      </c>
      <c r="AK61" s="988">
        <v>882</v>
      </c>
      <c r="AL61" s="897">
        <v>218</v>
      </c>
      <c r="AM61" s="897">
        <v>159</v>
      </c>
      <c r="AN61" s="897">
        <v>183</v>
      </c>
      <c r="AO61" s="897">
        <v>207</v>
      </c>
      <c r="AP61" s="989">
        <f>SUM(AL61,AM61,AN61,AO61)</f>
        <v>767</v>
      </c>
      <c r="AQ61" s="897">
        <v>190</v>
      </c>
      <c r="AR61" s="897">
        <v>196</v>
      </c>
      <c r="AS61" s="897">
        <v>204</v>
      </c>
      <c r="AT61" s="897">
        <v>237</v>
      </c>
      <c r="AU61" s="989">
        <f>SUM(AQ61,AR61,AS61,AT61)</f>
        <v>827</v>
      </c>
      <c r="AV61" s="897">
        <v>283</v>
      </c>
      <c r="AW61" s="897">
        <v>295</v>
      </c>
      <c r="AX61" s="897">
        <v>296</v>
      </c>
      <c r="AY61" s="897">
        <v>249</v>
      </c>
      <c r="AZ61" s="989">
        <f>SUM(AV61,AW61,AX61,AY61)</f>
        <v>1123</v>
      </c>
      <c r="BA61" s="897">
        <v>232</v>
      </c>
      <c r="BB61" s="897">
        <v>202</v>
      </c>
      <c r="BC61" s="897">
        <v>194</v>
      </c>
      <c r="BD61" s="897">
        <v>183</v>
      </c>
      <c r="BE61" s="989">
        <f>SUM(BA61,BB61,BC61,BD61)</f>
        <v>811</v>
      </c>
      <c r="BF61" s="897">
        <v>169</v>
      </c>
      <c r="BG61" s="897">
        <v>158</v>
      </c>
      <c r="BH61" s="898">
        <v>151</v>
      </c>
      <c r="BI61" s="92">
        <f t="shared" si="177"/>
        <v>200.88900000000001</v>
      </c>
      <c r="BJ61" s="989">
        <f>SUM(BF61,BG61,BH61,BI61)</f>
        <v>678.88900000000001</v>
      </c>
      <c r="BK61" s="92">
        <f t="shared" si="178"/>
        <v>161.553</v>
      </c>
      <c r="BL61" s="92">
        <f t="shared" si="178"/>
        <v>154.34999999999999</v>
      </c>
      <c r="BM61" s="92">
        <f t="shared" si="178"/>
        <v>107.01600000000001</v>
      </c>
      <c r="BN61" s="92">
        <f t="shared" si="178"/>
        <v>165.50163000000003</v>
      </c>
      <c r="BO61" s="989">
        <f>SUM(BK61,BL61,BM61,BN61)</f>
        <v>588.42063000000007</v>
      </c>
      <c r="BP61" s="989">
        <f t="shared" si="179"/>
        <v>599.38828110000009</v>
      </c>
      <c r="BQ61" s="989">
        <f t="shared" si="179"/>
        <v>617.369929533</v>
      </c>
      <c r="BR61" s="989">
        <f t="shared" si="179"/>
        <v>635.89102741899001</v>
      </c>
      <c r="BS61" s="305"/>
    </row>
    <row r="62" spans="1:71" s="300" customFormat="1" ht="15">
      <c r="A62" s="408" t="s">
        <v>795</v>
      </c>
      <c r="B62" s="233"/>
      <c r="C62" s="988">
        <v>0</v>
      </c>
      <c r="D62" s="988">
        <v>0</v>
      </c>
      <c r="E62" s="988">
        <v>382</v>
      </c>
      <c r="F62" s="988">
        <v>394</v>
      </c>
      <c r="G62" s="988">
        <v>471</v>
      </c>
      <c r="H62" s="897">
        <v>133</v>
      </c>
      <c r="I62" s="897">
        <v>131</v>
      </c>
      <c r="J62" s="897">
        <v>138</v>
      </c>
      <c r="K62" s="92">
        <f>L62-H62-I62-J62</f>
        <v>140</v>
      </c>
      <c r="L62" s="988">
        <v>542</v>
      </c>
      <c r="M62" s="897">
        <v>141</v>
      </c>
      <c r="N62" s="897">
        <v>137</v>
      </c>
      <c r="O62" s="897">
        <v>148</v>
      </c>
      <c r="P62" s="92">
        <f>Q62-M62-N62-O62</f>
        <v>135</v>
      </c>
      <c r="Q62" s="988">
        <v>561</v>
      </c>
      <c r="R62" s="92"/>
      <c r="S62" s="92"/>
      <c r="T62" s="897">
        <v>0</v>
      </c>
      <c r="U62" s="92"/>
      <c r="V62" s="989"/>
      <c r="W62" s="92"/>
      <c r="X62" s="92"/>
      <c r="Y62" s="92"/>
      <c r="Z62" s="92"/>
      <c r="AA62" s="989"/>
      <c r="AB62" s="92"/>
      <c r="AC62" s="92"/>
      <c r="AD62" s="92"/>
      <c r="AE62" s="92"/>
      <c r="AF62" s="989"/>
      <c r="AG62" s="92"/>
      <c r="AH62" s="92"/>
      <c r="AI62" s="92"/>
      <c r="AJ62" s="92"/>
      <c r="AK62" s="989"/>
      <c r="AL62" s="92"/>
      <c r="AM62" s="92"/>
      <c r="AN62" s="92"/>
      <c r="AO62" s="92"/>
      <c r="AP62" s="989"/>
      <c r="AQ62" s="92"/>
      <c r="AR62" s="92"/>
      <c r="AS62" s="92"/>
      <c r="AT62" s="92"/>
      <c r="AU62" s="989"/>
      <c r="AV62" s="897">
        <v>113</v>
      </c>
      <c r="AW62" s="897">
        <v>120</v>
      </c>
      <c r="AX62" s="897">
        <v>134</v>
      </c>
      <c r="AY62" s="897">
        <v>127</v>
      </c>
      <c r="AZ62" s="989">
        <f>SUM(AV62,AW62,AX62,AY62)</f>
        <v>494</v>
      </c>
      <c r="BA62" s="897">
        <v>123</v>
      </c>
      <c r="BB62" s="897">
        <v>128</v>
      </c>
      <c r="BC62" s="897">
        <v>154</v>
      </c>
      <c r="BD62" s="897">
        <v>145</v>
      </c>
      <c r="BE62" s="989">
        <f>SUM(BA62,BB62,BC62,BD62)</f>
        <v>550</v>
      </c>
      <c r="BF62" s="897">
        <v>140</v>
      </c>
      <c r="BG62" s="897">
        <v>146</v>
      </c>
      <c r="BH62" s="898">
        <v>152</v>
      </c>
      <c r="BI62" s="92">
        <f t="shared" si="177"/>
        <v>122.50</v>
      </c>
      <c r="BJ62" s="989">
        <f>SUM(BF62,BG62,BH62,BI62)</f>
        <v>560.50</v>
      </c>
      <c r="BK62" s="92">
        <f t="shared" si="178"/>
        <v>122.50</v>
      </c>
      <c r="BL62" s="92">
        <f t="shared" si="178"/>
        <v>122.50</v>
      </c>
      <c r="BM62" s="92">
        <f t="shared" si="178"/>
        <v>122.50</v>
      </c>
      <c r="BN62" s="92">
        <f t="shared" si="178"/>
        <v>122.50</v>
      </c>
      <c r="BO62" s="989">
        <f>SUM(BK62,BL62,BM62,BN62)</f>
        <v>490</v>
      </c>
      <c r="BP62" s="989">
        <f t="shared" si="179"/>
        <v>490</v>
      </c>
      <c r="BQ62" s="989">
        <f t="shared" si="179"/>
        <v>490</v>
      </c>
      <c r="BR62" s="989">
        <f t="shared" si="179"/>
        <v>490</v>
      </c>
      <c r="BS62" s="305"/>
    </row>
    <row r="63" spans="1:71" s="300" customFormat="1" ht="15">
      <c r="A63" s="348" t="s">
        <v>336</v>
      </c>
      <c r="B63" s="481"/>
      <c r="C63" s="992">
        <f t="shared" si="180" ref="C63:J63">SUM(C58:C62)</f>
        <v>26195</v>
      </c>
      <c r="D63" s="992">
        <f t="shared" si="180"/>
        <v>25955</v>
      </c>
      <c r="E63" s="992">
        <f t="shared" si="180"/>
        <v>25942</v>
      </c>
      <c r="F63" s="992">
        <f t="shared" si="180"/>
        <v>26737</v>
      </c>
      <c r="G63" s="992">
        <f t="shared" si="180"/>
        <v>27618</v>
      </c>
      <c r="H63" s="116">
        <f t="shared" si="180"/>
        <v>7064</v>
      </c>
      <c r="I63" s="116">
        <f t="shared" si="180"/>
        <v>7204</v>
      </c>
      <c r="J63" s="116">
        <f t="shared" si="180"/>
        <v>7306</v>
      </c>
      <c r="K63" s="116">
        <f t="shared" si="181" ref="K63:AP63">SUM(K58:K61)</f>
        <v>7214</v>
      </c>
      <c r="L63" s="992">
        <f>SUM(L58:L62)</f>
        <v>28928</v>
      </c>
      <c r="M63" s="116">
        <f>SUM(M58:M62)</f>
        <v>7426</v>
      </c>
      <c r="N63" s="116">
        <f>SUM(N58:N62)</f>
        <v>7549</v>
      </c>
      <c r="O63" s="116">
        <f>SUM(O58:O62)</f>
        <v>7650</v>
      </c>
      <c r="P63" s="116">
        <f t="shared" si="181"/>
        <v>7549</v>
      </c>
      <c r="Q63" s="992">
        <f>SUM(Q58:Q62)</f>
        <v>30309</v>
      </c>
      <c r="R63" s="116">
        <f t="shared" si="181"/>
        <v>7580</v>
      </c>
      <c r="S63" s="116">
        <f t="shared" si="181"/>
        <v>7672</v>
      </c>
      <c r="T63" s="116">
        <f>SUM(T58:T62)</f>
        <v>7719</v>
      </c>
      <c r="U63" s="116">
        <f t="shared" si="181"/>
        <v>7756</v>
      </c>
      <c r="V63" s="992">
        <f t="shared" si="181"/>
        <v>30727</v>
      </c>
      <c r="W63" s="116">
        <f t="shared" si="181"/>
        <v>7759</v>
      </c>
      <c r="X63" s="116">
        <f t="shared" si="181"/>
        <v>7807</v>
      </c>
      <c r="Y63" s="116">
        <f t="shared" si="181"/>
        <v>7896</v>
      </c>
      <c r="Z63" s="116">
        <f t="shared" si="181"/>
        <v>7971</v>
      </c>
      <c r="AA63" s="992">
        <f t="shared" si="181"/>
        <v>31433</v>
      </c>
      <c r="AB63" s="116">
        <f t="shared" si="181"/>
        <v>8019</v>
      </c>
      <c r="AC63" s="116">
        <f t="shared" si="181"/>
        <v>8189</v>
      </c>
      <c r="AD63" s="116">
        <f t="shared" si="181"/>
        <v>8320</v>
      </c>
      <c r="AE63" s="116">
        <f t="shared" si="181"/>
        <v>8422</v>
      </c>
      <c r="AF63" s="992">
        <f t="shared" si="181"/>
        <v>32950</v>
      </c>
      <c r="AG63" s="116">
        <f t="shared" si="181"/>
        <v>8507</v>
      </c>
      <c r="AH63" s="116">
        <f t="shared" si="181"/>
        <v>8681</v>
      </c>
      <c r="AI63" s="116">
        <f t="shared" si="181"/>
        <v>8782</v>
      </c>
      <c r="AJ63" s="116">
        <f t="shared" si="181"/>
        <v>8873</v>
      </c>
      <c r="AK63" s="992">
        <f t="shared" si="181"/>
        <v>34843</v>
      </c>
      <c r="AL63" s="116">
        <f t="shared" si="181"/>
        <v>8881</v>
      </c>
      <c r="AM63" s="116">
        <f t="shared" si="181"/>
        <v>8863</v>
      </c>
      <c r="AN63" s="116">
        <f t="shared" si="181"/>
        <v>8952</v>
      </c>
      <c r="AO63" s="116">
        <f t="shared" si="181"/>
        <v>8884</v>
      </c>
      <c r="AP63" s="992">
        <f t="shared" si="181"/>
        <v>35580</v>
      </c>
      <c r="AQ63" s="116">
        <f t="shared" si="182" ref="AQ63:AU63">SUM(AQ58:AQ61)</f>
        <v>9896</v>
      </c>
      <c r="AR63" s="116">
        <f t="shared" si="182"/>
        <v>10009</v>
      </c>
      <c r="AS63" s="116">
        <f t="shared" si="182"/>
        <v>10159</v>
      </c>
      <c r="AT63" s="116">
        <f t="shared" si="182"/>
        <v>10390</v>
      </c>
      <c r="AU63" s="992">
        <f t="shared" si="182"/>
        <v>40454</v>
      </c>
      <c r="AV63" s="116">
        <f t="shared" si="183" ref="AV63:AZ63">SUM(AV58:AV62)</f>
        <v>10498</v>
      </c>
      <c r="AW63" s="116">
        <f t="shared" si="183"/>
        <v>10874</v>
      </c>
      <c r="AX63" s="116">
        <f t="shared" si="183"/>
        <v>11157</v>
      </c>
      <c r="AY63" s="116">
        <f t="shared" si="183"/>
        <v>11380</v>
      </c>
      <c r="AZ63" s="992">
        <f t="shared" si="183"/>
        <v>43909</v>
      </c>
      <c r="BA63" s="116">
        <f t="shared" si="184" ref="BA63:BI63">SUM(BA58:BA62)</f>
        <v>11635</v>
      </c>
      <c r="BB63" s="116">
        <f t="shared" si="184"/>
        <v>11921</v>
      </c>
      <c r="BC63" s="116">
        <f t="shared" si="184"/>
        <v>12270</v>
      </c>
      <c r="BD63" s="116">
        <f t="shared" si="184"/>
        <v>12601</v>
      </c>
      <c r="BE63" s="992">
        <f t="shared" si="184"/>
        <v>48427</v>
      </c>
      <c r="BF63" s="116">
        <f>SUM(BF58:BF62)</f>
        <v>12900</v>
      </c>
      <c r="BG63" s="116">
        <f>SUM(BG58:BG62)</f>
        <v>13339</v>
      </c>
      <c r="BH63" s="741">
        <f>SUM(BH58:BH62)</f>
        <v>13694</v>
      </c>
      <c r="BI63" s="239">
        <f t="shared" si="184"/>
        <v>13486.062999999998</v>
      </c>
      <c r="BJ63" s="994">
        <f t="shared" si="185" ref="BJ63">SUM(BJ58:BJ62)</f>
        <v>53419.063000000002</v>
      </c>
      <c r="BK63" s="239">
        <f t="shared" si="186" ref="BK63:BR63">SUM(BK58:BK62)</f>
        <v>14110.312</v>
      </c>
      <c r="BL63" s="239">
        <f t="shared" si="186"/>
        <v>15213.136000000002</v>
      </c>
      <c r="BM63" s="239">
        <f t="shared" si="186"/>
        <v>15649.297</v>
      </c>
      <c r="BN63" s="239">
        <f t="shared" si="186"/>
        <v>14591.72883</v>
      </c>
      <c r="BO63" s="994">
        <f t="shared" si="186"/>
        <v>59564.473830000003</v>
      </c>
      <c r="BP63" s="994">
        <f t="shared" si="186"/>
        <v>59988.025056100014</v>
      </c>
      <c r="BQ63" s="994">
        <f t="shared" si="186"/>
        <v>61587.050615173015</v>
      </c>
      <c r="BR63" s="994">
        <f t="shared" si="186"/>
        <v>63419.9621336282</v>
      </c>
      <c r="BS63" s="305"/>
    </row>
    <row r="64" spans="1:71" s="300" customFormat="1" ht="15">
      <c r="A64" s="110" t="s">
        <v>751</v>
      </c>
      <c r="B64" s="113"/>
      <c r="C64" s="990">
        <v>-1</v>
      </c>
      <c r="D64" s="990">
        <v>2</v>
      </c>
      <c r="E64" s="990">
        <v>0</v>
      </c>
      <c r="F64" s="990">
        <v>0</v>
      </c>
      <c r="G64" s="990">
        <v>0</v>
      </c>
      <c r="H64" s="900">
        <v>0</v>
      </c>
      <c r="I64" s="900">
        <v>0</v>
      </c>
      <c r="J64" s="900">
        <v>1</v>
      </c>
      <c r="K64" s="900">
        <v>0</v>
      </c>
      <c r="L64" s="990">
        <v>1</v>
      </c>
      <c r="M64" s="900">
        <v>0</v>
      </c>
      <c r="N64" s="900">
        <v>0</v>
      </c>
      <c r="O64" s="900">
        <v>0</v>
      </c>
      <c r="P64" s="900">
        <v>0</v>
      </c>
      <c r="Q64" s="990">
        <v>0</v>
      </c>
      <c r="R64" s="900">
        <v>0</v>
      </c>
      <c r="S64" s="900">
        <v>0</v>
      </c>
      <c r="T64" s="900">
        <v>0</v>
      </c>
      <c r="U64" s="900">
        <v>0</v>
      </c>
      <c r="V64" s="990">
        <v>0</v>
      </c>
      <c r="W64" s="900">
        <v>0</v>
      </c>
      <c r="X64" s="900">
        <v>0</v>
      </c>
      <c r="Y64" s="900">
        <v>0</v>
      </c>
      <c r="Z64" s="900">
        <v>0</v>
      </c>
      <c r="AA64" s="990">
        <v>0</v>
      </c>
      <c r="AB64" s="900">
        <v>0</v>
      </c>
      <c r="AC64" s="900">
        <v>0</v>
      </c>
      <c r="AD64" s="900">
        <v>0</v>
      </c>
      <c r="AE64" s="900">
        <v>0</v>
      </c>
      <c r="AF64" s="990">
        <v>0</v>
      </c>
      <c r="AG64" s="900">
        <v>0</v>
      </c>
      <c r="AH64" s="900">
        <v>0</v>
      </c>
      <c r="AI64" s="900">
        <v>0</v>
      </c>
      <c r="AJ64" s="900">
        <v>0</v>
      </c>
      <c r="AK64" s="990">
        <v>0</v>
      </c>
      <c r="AL64" s="900">
        <v>0</v>
      </c>
      <c r="AM64" s="900">
        <v>0</v>
      </c>
      <c r="AN64" s="900">
        <v>0</v>
      </c>
      <c r="AO64" s="900">
        <v>0</v>
      </c>
      <c r="AP64" s="990">
        <v>0</v>
      </c>
      <c r="AQ64" s="900">
        <v>0</v>
      </c>
      <c r="AR64" s="900">
        <v>0</v>
      </c>
      <c r="AS64" s="900">
        <v>0</v>
      </c>
      <c r="AT64" s="900">
        <v>0</v>
      </c>
      <c r="AU64" s="990">
        <v>0</v>
      </c>
      <c r="AV64" s="900">
        <v>0</v>
      </c>
      <c r="AW64" s="900">
        <v>0</v>
      </c>
      <c r="AX64" s="900">
        <v>0</v>
      </c>
      <c r="AY64" s="900">
        <v>0</v>
      </c>
      <c r="AZ64" s="990">
        <v>0</v>
      </c>
      <c r="BA64" s="115"/>
      <c r="BB64" s="115"/>
      <c r="BC64" s="115"/>
      <c r="BD64" s="115"/>
      <c r="BE64" s="995"/>
      <c r="BF64" s="115"/>
      <c r="BG64" s="115"/>
      <c r="BH64" s="641"/>
      <c r="BI64" s="115"/>
      <c r="BJ64" s="995">
        <f>SUM(BF64,BG64,BH64,BI64)</f>
        <v>0</v>
      </c>
      <c r="BK64" s="115"/>
      <c r="BL64" s="115"/>
      <c r="BM64" s="115"/>
      <c r="BN64" s="115"/>
      <c r="BO64" s="995">
        <f>SUM(BK64,BL64,BM64,BN64)</f>
        <v>0</v>
      </c>
      <c r="BP64" s="995"/>
      <c r="BQ64" s="995"/>
      <c r="BR64" s="995"/>
      <c r="BS64" s="305"/>
    </row>
    <row r="65" spans="1:71" s="51" customFormat="1" ht="15">
      <c r="A65" s="109" t="s">
        <v>548</v>
      </c>
      <c r="B65" s="391"/>
      <c r="C65" s="999">
        <f>SUM(C63:C64)</f>
        <v>26194</v>
      </c>
      <c r="D65" s="999">
        <f t="shared" si="187" ref="D65:AL65">SUM(D63:D64)</f>
        <v>25957</v>
      </c>
      <c r="E65" s="999">
        <f t="shared" si="187"/>
        <v>25942</v>
      </c>
      <c r="F65" s="999">
        <f t="shared" si="187"/>
        <v>26737</v>
      </c>
      <c r="G65" s="999">
        <f t="shared" si="187"/>
        <v>27618</v>
      </c>
      <c r="H65" s="57">
        <f t="shared" si="187"/>
        <v>7064</v>
      </c>
      <c r="I65" s="57">
        <f t="shared" si="187"/>
        <v>7204</v>
      </c>
      <c r="J65" s="57">
        <f t="shared" si="187"/>
        <v>7307</v>
      </c>
      <c r="K65" s="57">
        <f t="shared" si="187"/>
        <v>7214</v>
      </c>
      <c r="L65" s="999">
        <f t="shared" si="187"/>
        <v>28929</v>
      </c>
      <c r="M65" s="57">
        <f t="shared" si="187"/>
        <v>7426</v>
      </c>
      <c r="N65" s="57">
        <f t="shared" si="187"/>
        <v>7549</v>
      </c>
      <c r="O65" s="57">
        <f t="shared" si="187"/>
        <v>7650</v>
      </c>
      <c r="P65" s="57">
        <f t="shared" si="187"/>
        <v>7549</v>
      </c>
      <c r="Q65" s="999">
        <f t="shared" si="187"/>
        <v>30309</v>
      </c>
      <c r="R65" s="57">
        <f t="shared" si="187"/>
        <v>7580</v>
      </c>
      <c r="S65" s="57">
        <f t="shared" si="187"/>
        <v>7672</v>
      </c>
      <c r="T65" s="57">
        <f t="shared" si="187"/>
        <v>7719</v>
      </c>
      <c r="U65" s="57">
        <f t="shared" si="187"/>
        <v>7756</v>
      </c>
      <c r="V65" s="999">
        <f t="shared" si="187"/>
        <v>30727</v>
      </c>
      <c r="W65" s="57">
        <f t="shared" si="187"/>
        <v>7759</v>
      </c>
      <c r="X65" s="57">
        <f t="shared" si="187"/>
        <v>7807</v>
      </c>
      <c r="Y65" s="57">
        <f t="shared" si="187"/>
        <v>7896</v>
      </c>
      <c r="Z65" s="57">
        <f t="shared" si="187"/>
        <v>7971</v>
      </c>
      <c r="AA65" s="999">
        <f t="shared" si="187"/>
        <v>31433</v>
      </c>
      <c r="AB65" s="57">
        <f t="shared" si="187"/>
        <v>8019</v>
      </c>
      <c r="AC65" s="57">
        <f t="shared" si="187"/>
        <v>8189</v>
      </c>
      <c r="AD65" s="57">
        <f t="shared" si="187"/>
        <v>8320</v>
      </c>
      <c r="AE65" s="57">
        <f t="shared" si="187"/>
        <v>8422</v>
      </c>
      <c r="AF65" s="999">
        <f t="shared" si="187"/>
        <v>32950</v>
      </c>
      <c r="AG65" s="57">
        <f t="shared" si="187"/>
        <v>8507</v>
      </c>
      <c r="AH65" s="57">
        <f t="shared" si="187"/>
        <v>8681</v>
      </c>
      <c r="AI65" s="57">
        <f t="shared" si="187"/>
        <v>8782</v>
      </c>
      <c r="AJ65" s="57">
        <f t="shared" si="187"/>
        <v>8873</v>
      </c>
      <c r="AK65" s="999">
        <f t="shared" si="187"/>
        <v>34843</v>
      </c>
      <c r="AL65" s="57">
        <f t="shared" si="187"/>
        <v>8881</v>
      </c>
      <c r="AM65" s="57">
        <f>SUM(AM63:AM64)</f>
        <v>8863</v>
      </c>
      <c r="AN65" s="57">
        <f>SUM(AN63:AN64)</f>
        <v>8952</v>
      </c>
      <c r="AO65" s="57">
        <f t="shared" si="188" ref="AO65:AP65">SUM(AO63:AO64)</f>
        <v>8884</v>
      </c>
      <c r="AP65" s="999">
        <f t="shared" si="188"/>
        <v>35580</v>
      </c>
      <c r="AQ65" s="57">
        <f t="shared" si="189" ref="AQ65:AV65">SUM(AQ63:AQ64)</f>
        <v>9896</v>
      </c>
      <c r="AR65" s="57">
        <f t="shared" si="189"/>
        <v>10009</v>
      </c>
      <c r="AS65" s="57">
        <f t="shared" si="189"/>
        <v>10159</v>
      </c>
      <c r="AT65" s="57">
        <f t="shared" si="189"/>
        <v>10390</v>
      </c>
      <c r="AU65" s="999">
        <f t="shared" si="189"/>
        <v>40454</v>
      </c>
      <c r="AV65" s="57">
        <f t="shared" si="189"/>
        <v>10498</v>
      </c>
      <c r="AW65" s="57">
        <f t="shared" si="190" ref="AW65:BJ65">SUM(AW63:AW64)</f>
        <v>10874</v>
      </c>
      <c r="AX65" s="57">
        <f t="shared" si="190"/>
        <v>11157</v>
      </c>
      <c r="AY65" s="57">
        <f t="shared" si="190"/>
        <v>11380</v>
      </c>
      <c r="AZ65" s="999">
        <f t="shared" si="190"/>
        <v>43909</v>
      </c>
      <c r="BA65" s="57">
        <f t="shared" si="191" ref="BA65:BI65">SUM(BA63:BA64)</f>
        <v>11635</v>
      </c>
      <c r="BB65" s="57">
        <f t="shared" si="191"/>
        <v>11921</v>
      </c>
      <c r="BC65" s="57">
        <f t="shared" si="191"/>
        <v>12270</v>
      </c>
      <c r="BD65" s="57">
        <f t="shared" si="191"/>
        <v>12601</v>
      </c>
      <c r="BE65" s="999">
        <f t="shared" si="191"/>
        <v>48427</v>
      </c>
      <c r="BF65" s="57">
        <f>SUM(BF63:BF64)</f>
        <v>12900</v>
      </c>
      <c r="BG65" s="57">
        <f>SUM(BG63:BG64)</f>
        <v>13339</v>
      </c>
      <c r="BH65" s="745">
        <f>SUM(BH63:BH64)</f>
        <v>13694</v>
      </c>
      <c r="BI65" s="128">
        <f t="shared" si="191"/>
        <v>13486.062999999998</v>
      </c>
      <c r="BJ65" s="1000">
        <f t="shared" si="190"/>
        <v>53419.063000000002</v>
      </c>
      <c r="BK65" s="128">
        <f t="shared" si="192" ref="BK65:BR65">SUM(BK63:BK64)</f>
        <v>14110.312</v>
      </c>
      <c r="BL65" s="128">
        <f t="shared" si="192"/>
        <v>15213.136000000002</v>
      </c>
      <c r="BM65" s="128">
        <f t="shared" si="192"/>
        <v>15649.297</v>
      </c>
      <c r="BN65" s="128">
        <f t="shared" si="192"/>
        <v>14591.72883</v>
      </c>
      <c r="BO65" s="1000">
        <f t="shared" si="192"/>
        <v>59564.473830000003</v>
      </c>
      <c r="BP65" s="1000">
        <f t="shared" si="192"/>
        <v>59988.025056100014</v>
      </c>
      <c r="BQ65" s="1000">
        <f t="shared" si="192"/>
        <v>61587.050615173015</v>
      </c>
      <c r="BR65" s="1000">
        <f t="shared" si="192"/>
        <v>63419.9621336282</v>
      </c>
      <c r="BS65" s="57"/>
    </row>
    <row r="66" spans="1:71" s="205" customFormat="1" ht="15">
      <c r="A66" s="201" t="str">
        <f>CONCATENATE("Consensus Estimates - ",IFERROR(LEFT(A65,FIND("(",A65)-1),A65))</f>
        <v>Consensus Estimates - Total Property &amp; Liability Net Earned Premiums, mm</v>
      </c>
      <c r="B66" s="229"/>
      <c r="C66" s="1001"/>
      <c r="D66" s="1001"/>
      <c r="E66" s="1001"/>
      <c r="F66" s="1001"/>
      <c r="G66" s="1001"/>
      <c r="H66" s="203"/>
      <c r="I66" s="203"/>
      <c r="J66" s="203"/>
      <c r="K66" s="203"/>
      <c r="L66" s="1001"/>
      <c r="M66" s="203"/>
      <c r="N66" s="203"/>
      <c r="O66" s="203"/>
      <c r="P66" s="203"/>
      <c r="Q66" s="1001"/>
      <c r="R66" s="203"/>
      <c r="S66" s="204"/>
      <c r="T66" s="203"/>
      <c r="U66" s="203"/>
      <c r="V66" s="1001"/>
      <c r="W66" s="203"/>
      <c r="X66" s="204"/>
      <c r="Y66" s="203"/>
      <c r="Z66" s="203"/>
      <c r="AA66" s="1001"/>
      <c r="AB66" s="203"/>
      <c r="AC66" s="204"/>
      <c r="AD66" s="203"/>
      <c r="AE66" s="203"/>
      <c r="AF66" s="1001"/>
      <c r="AG66" s="203"/>
      <c r="AH66" s="204"/>
      <c r="AI66" s="203"/>
      <c r="AJ66" s="203"/>
      <c r="AK66" s="1001"/>
      <c r="AL66" s="203"/>
      <c r="AM66" s="204"/>
      <c r="AN66" s="203"/>
      <c r="AO66" s="203"/>
      <c r="AP66" s="1001"/>
      <c r="AQ66" s="203"/>
      <c r="AR66" s="204"/>
      <c r="AS66" s="203"/>
      <c r="AT66" s="203"/>
      <c r="AU66" s="1001"/>
      <c r="AV66" s="203"/>
      <c r="AW66" s="204"/>
      <c r="AX66" s="203"/>
      <c r="AY66" s="203"/>
      <c r="AZ66" s="1001"/>
      <c r="BA66" s="203"/>
      <c r="BB66" s="204"/>
      <c r="BC66" s="203"/>
      <c r="BD66" s="203"/>
      <c r="BE66" s="1001"/>
      <c r="BF66" s="203"/>
      <c r="BG66" s="204"/>
      <c r="BH66" s="746"/>
      <c r="BI66" s="249" t="str">
        <f ca="1" t="shared" si="193" ref="BI66:BO66">IFERROR(VLOOKUP($A66,tb_ConsensusEstimate,MATCH(BI$5,OFFSET(tb_ConsensusEstimate,0,0,1,COLUMNS(tb_ConsensusEstimate)),0),FALSE),"-")</f>
        <v>N/A</v>
      </c>
      <c r="BJ66" s="1002" t="str">
        <f t="shared" ca="1" si="193"/>
        <v>N/A</v>
      </c>
      <c r="BK66" s="249" t="str">
        <f t="shared" ca="1" si="193"/>
        <v>N/A</v>
      </c>
      <c r="BL66" s="249" t="str">
        <f t="shared" ca="1" si="193"/>
        <v>N/A</v>
      </c>
      <c r="BM66" s="249" t="str">
        <f t="shared" ca="1" si="193"/>
        <v>N/A</v>
      </c>
      <c r="BN66" s="249" t="str">
        <f t="shared" ca="1" si="193"/>
        <v>N/A</v>
      </c>
      <c r="BO66" s="1002" t="str">
        <f t="shared" ca="1" si="193"/>
        <v>N/A</v>
      </c>
      <c r="BP66" s="1002" t="str">
        <f ca="1">IFERROR(VLOOKUP($A66,tb_ConsensusEstimate,MATCH(BP5,OFFSET(tb_ConsensusEstimate,0,0,1,COLUMNS(tb_ConsensusEstimate)),0),FALSE),"-")</f>
        <v>N/A</v>
      </c>
      <c r="BQ66" s="1002" t="str">
        <f ca="1">IFERROR(VLOOKUP($A66,tb_ConsensusEstimate,MATCH(BQ5,OFFSET(tb_ConsensusEstimate,0,0,1,COLUMNS(tb_ConsensusEstimate)),0),FALSE),"-")</f>
        <v>N/A</v>
      </c>
      <c r="BR66" s="1002" t="str">
        <f ca="1">IFERROR(VLOOKUP($A66,tb_ConsensusEstimate,MATCH(BR5,OFFSET(tb_ConsensusEstimate,0,0,1,COLUMNS(tb_ConsensusEstimate)),0),FALSE),"-")</f>
        <v>N/A</v>
      </c>
      <c r="BS66" s="203"/>
    </row>
    <row r="67" spans="1:71" s="108" customFormat="1" ht="15">
      <c r="A67" s="482"/>
      <c r="B67" s="229"/>
      <c r="C67" s="1001"/>
      <c r="D67" s="1001"/>
      <c r="E67" s="1001"/>
      <c r="F67" s="1001"/>
      <c r="G67" s="1001"/>
      <c r="H67" s="203"/>
      <c r="I67" s="203"/>
      <c r="J67" s="203"/>
      <c r="K67" s="203"/>
      <c r="L67" s="1001"/>
      <c r="M67" s="203"/>
      <c r="N67" s="203"/>
      <c r="O67" s="203"/>
      <c r="P67" s="203"/>
      <c r="Q67" s="1001"/>
      <c r="R67" s="203"/>
      <c r="S67" s="204"/>
      <c r="T67" s="203"/>
      <c r="U67" s="203"/>
      <c r="V67" s="1001"/>
      <c r="W67" s="203"/>
      <c r="X67" s="204"/>
      <c r="Y67" s="203"/>
      <c r="Z67" s="203"/>
      <c r="AA67" s="1001"/>
      <c r="AB67" s="203"/>
      <c r="AC67" s="204"/>
      <c r="AD67" s="203"/>
      <c r="AE67" s="203"/>
      <c r="AF67" s="1001"/>
      <c r="AG67" s="203"/>
      <c r="AH67" s="204"/>
      <c r="AI67" s="203"/>
      <c r="AJ67" s="203"/>
      <c r="AK67" s="1001"/>
      <c r="AL67" s="203"/>
      <c r="AM67" s="204"/>
      <c r="AN67" s="203"/>
      <c r="AO67" s="203"/>
      <c r="AP67" s="1001"/>
      <c r="AQ67" s="203"/>
      <c r="AR67" s="204"/>
      <c r="AS67" s="203"/>
      <c r="AT67" s="203"/>
      <c r="AU67" s="1001"/>
      <c r="AV67" s="203"/>
      <c r="AW67" s="204"/>
      <c r="AX67" s="203"/>
      <c r="AY67" s="203"/>
      <c r="AZ67" s="1001"/>
      <c r="BA67" s="203"/>
      <c r="BB67" s="204"/>
      <c r="BC67" s="203"/>
      <c r="BD67" s="203"/>
      <c r="BE67" s="1001"/>
      <c r="BF67" s="203"/>
      <c r="BG67" s="204"/>
      <c r="BH67" s="746"/>
      <c r="BI67" s="203"/>
      <c r="BJ67" s="1003"/>
      <c r="BK67" s="203"/>
      <c r="BL67" s="203"/>
      <c r="BM67" s="203"/>
      <c r="BN67" s="203"/>
      <c r="BO67" s="1003"/>
      <c r="BP67" s="1003"/>
      <c r="BQ67" s="1003"/>
      <c r="BR67" s="1003"/>
      <c r="BS67" s="107"/>
    </row>
    <row r="68" spans="1:71" s="300" customFormat="1" ht="15">
      <c r="A68" s="592" t="s">
        <v>857</v>
      </c>
      <c r="B68" s="166"/>
      <c r="C68" s="989"/>
      <c r="D68" s="989"/>
      <c r="E68" s="989"/>
      <c r="F68" s="989"/>
      <c r="G68" s="989"/>
      <c r="H68" s="92"/>
      <c r="I68" s="92"/>
      <c r="J68" s="92"/>
      <c r="K68" s="92"/>
      <c r="L68" s="989"/>
      <c r="M68" s="92"/>
      <c r="N68" s="92"/>
      <c r="O68" s="92"/>
      <c r="P68" s="92"/>
      <c r="Q68" s="989">
        <f t="shared" si="194" ref="Q68:AS68">+Q58*Q136</f>
        <v>15001.35</v>
      </c>
      <c r="R68" s="92">
        <f t="shared" si="194"/>
        <v>3789.72</v>
      </c>
      <c r="S68" s="394">
        <f t="shared" si="194"/>
        <v>3905.2159999999999</v>
      </c>
      <c r="T68" s="92">
        <f t="shared" si="194"/>
        <v>3891.6309999999999</v>
      </c>
      <c r="U68" s="92">
        <f>V68-SUM(R68,S68,T68)</f>
        <v>3872.3610000000008</v>
      </c>
      <c r="V68" s="989">
        <f t="shared" si="194"/>
        <v>15458.928</v>
      </c>
      <c r="W68" s="92">
        <f t="shared" si="194"/>
        <v>3642.2880000000005</v>
      </c>
      <c r="X68" s="394">
        <f t="shared" si="194"/>
        <v>3708.7159999999999</v>
      </c>
      <c r="Y68" s="92">
        <f t="shared" si="194"/>
        <v>3680.1690000000003</v>
      </c>
      <c r="Z68" s="92">
        <f>AA68-SUM(W68,X68,Y68)</f>
        <v>3823.9889999999978</v>
      </c>
      <c r="AA68" s="989">
        <f t="shared" si="194"/>
        <v>14855.161999999998</v>
      </c>
      <c r="AB68" s="92">
        <f t="shared" si="194"/>
        <v>3706.8330000000001</v>
      </c>
      <c r="AC68" s="394">
        <f t="shared" si="194"/>
        <v>3822.3500000000004</v>
      </c>
      <c r="AD68" s="92">
        <f t="shared" si="194"/>
        <v>3907.8520000000003</v>
      </c>
      <c r="AE68" s="92">
        <f>AF68-SUM(AB68,AC68,AD68)</f>
        <v>4044.744999999999</v>
      </c>
      <c r="AF68" s="989">
        <f t="shared" si="194"/>
        <v>15481.780000000001</v>
      </c>
      <c r="AG68" s="92">
        <f t="shared" si="194"/>
        <v>3919.73</v>
      </c>
      <c r="AH68" s="394">
        <f t="shared" si="194"/>
        <v>4091.7299999999996</v>
      </c>
      <c r="AI68" s="92">
        <f t="shared" si="194"/>
        <v>4195.20</v>
      </c>
      <c r="AJ68" s="92">
        <f>AK68-SUM(AG68,AH68,AI68)</f>
        <v>4241.1800000000003</v>
      </c>
      <c r="AK68" s="989">
        <f t="shared" si="194"/>
        <v>16447.84</v>
      </c>
      <c r="AL68" s="92">
        <f t="shared" si="194"/>
        <v>3809.9450000000002</v>
      </c>
      <c r="AM68" s="394">
        <f t="shared" si="194"/>
        <v>2888.4959999999996</v>
      </c>
      <c r="AN68" s="92">
        <f t="shared" si="194"/>
        <v>3688.74</v>
      </c>
      <c r="AO68" s="92">
        <f>AP68-SUM(AL68,AM68,AN68)</f>
        <v>3608.3389999999981</v>
      </c>
      <c r="AP68" s="989">
        <f t="shared" si="194"/>
        <v>13995.52</v>
      </c>
      <c r="AQ68" s="92">
        <f t="shared" si="194"/>
        <v>3921.9839999999999</v>
      </c>
      <c r="AR68" s="394">
        <f t="shared" si="194"/>
        <v>4618.4930000000004</v>
      </c>
      <c r="AS68" s="92">
        <f t="shared" si="194"/>
        <v>5052.6719999999996</v>
      </c>
      <c r="AT68" s="92">
        <f>AU68-SUM(AQ68,AR68,AS68)</f>
        <v>5300.9829999999965</v>
      </c>
      <c r="AU68" s="989">
        <f>+AU58*AU136</f>
        <v>18894.131999999998</v>
      </c>
      <c r="AV68" s="92">
        <f>+AV58*AV136</f>
        <v>5317.8310000000001</v>
      </c>
      <c r="AW68" s="394">
        <f>+AW58*AW136</f>
        <v>5922.4879999999994</v>
      </c>
      <c r="AX68" s="92">
        <f>+AX58*AX136</f>
        <v>6232.1700000000001</v>
      </c>
      <c r="AY68" s="92">
        <f>AZ68-SUM(AV68,AW68,AX68)</f>
        <v>6804.6659999999974</v>
      </c>
      <c r="AZ68" s="989">
        <f>+AZ58*AZ136</f>
        <v>24277.154999999999</v>
      </c>
      <c r="BA68" s="92">
        <f>+BA58*BA136</f>
        <v>6555.732</v>
      </c>
      <c r="BB68" s="394">
        <f>+BB58*BB136</f>
        <v>6716.067</v>
      </c>
      <c r="BC68" s="92">
        <f>+BC58*BC136</f>
        <v>6534.1349999999993</v>
      </c>
      <c r="BD68" s="92">
        <f>BE68-SUM(BA68,BB68,BC68)</f>
        <v>6611.9459999999999</v>
      </c>
      <c r="BE68" s="989">
        <f>+BE58*BE136</f>
        <v>26417.879999999997</v>
      </c>
      <c r="BF68" s="92">
        <f>+BF58*BF136</f>
        <v>6592.2780000000002</v>
      </c>
      <c r="BG68" s="394">
        <f>+BG58*BG136</f>
        <v>6573.1959999999999</v>
      </c>
      <c r="BH68" s="464">
        <f>+BH58*BH136</f>
        <v>6461.1899999999996</v>
      </c>
      <c r="BI68" s="92">
        <f>+BI58*BI136</f>
        <v>6664.2890999999991</v>
      </c>
      <c r="BJ68" s="1004">
        <f>SUM(BF68,BG68,BH68,BI68)</f>
        <v>26290.953099999999</v>
      </c>
      <c r="BK68" s="92">
        <f>+BK58*BK136</f>
        <v>7030.94337</v>
      </c>
      <c r="BL68" s="92">
        <f>+BL58*BL136</f>
        <v>7886.0152800000014</v>
      </c>
      <c r="BM68" s="92">
        <f>+BM58*BM136</f>
        <v>7687.0985400000009</v>
      </c>
      <c r="BN68" s="92">
        <f>+BN58*BN136</f>
        <v>7118.2334300000002</v>
      </c>
      <c r="BO68" s="1004">
        <f>SUM(BK68,BL68,BM68,BN68)</f>
        <v>29722.29062</v>
      </c>
      <c r="BP68" s="1004">
        <f>+BP58*BP136</f>
        <v>28720.382783400004</v>
      </c>
      <c r="BQ68" s="1004">
        <f>+BQ58*BQ136</f>
        <v>29581.994266902006</v>
      </c>
      <c r="BR68" s="1004">
        <f>+BR58*BR136</f>
        <v>30469.454094909062</v>
      </c>
      <c r="BS68" s="305"/>
    </row>
    <row r="69" spans="1:71" s="300" customFormat="1" ht="15">
      <c r="A69" s="592" t="s">
        <v>858</v>
      </c>
      <c r="B69" s="166"/>
      <c r="C69" s="989"/>
      <c r="D69" s="989"/>
      <c r="E69" s="989"/>
      <c r="F69" s="989"/>
      <c r="G69" s="989"/>
      <c r="H69" s="92"/>
      <c r="I69" s="92"/>
      <c r="J69" s="92"/>
      <c r="K69" s="92"/>
      <c r="L69" s="989"/>
      <c r="M69" s="92"/>
      <c r="N69" s="92"/>
      <c r="O69" s="92"/>
      <c r="P69" s="92"/>
      <c r="Q69" s="989">
        <f t="shared" si="195" ref="Q69:AS69">+Q58*Q137</f>
        <v>244.92000000000002</v>
      </c>
      <c r="R69" s="92">
        <f t="shared" si="195"/>
        <v>140.94</v>
      </c>
      <c r="S69" s="394">
        <f t="shared" si="195"/>
        <v>206.934</v>
      </c>
      <c r="T69" s="92">
        <f t="shared" si="195"/>
        <v>165.94300000000001</v>
      </c>
      <c r="U69" s="92">
        <f>V69-SUM(R69,S69,T69)</f>
        <v>60.311000000000035</v>
      </c>
      <c r="V69" s="989">
        <f t="shared" si="195"/>
        <v>574.12800000000004</v>
      </c>
      <c r="W69" s="92">
        <f t="shared" si="195"/>
        <v>75.432000000000002</v>
      </c>
      <c r="X69" s="394">
        <f t="shared" si="195"/>
        <v>228.39600000000002</v>
      </c>
      <c r="Y69" s="92">
        <f t="shared" si="195"/>
        <v>379.56900000000002</v>
      </c>
      <c r="Z69" s="92">
        <f>AA69-SUM(W69,X69,Y69)</f>
        <v>38.576999999999998</v>
      </c>
      <c r="AA69" s="989">
        <f t="shared" si="195"/>
        <v>721.97400000000005</v>
      </c>
      <c r="AB69" s="92">
        <f t="shared" si="195"/>
        <v>5.5910000000000002</v>
      </c>
      <c r="AC69" s="394">
        <f t="shared" si="195"/>
        <v>176.855</v>
      </c>
      <c r="AD69" s="92">
        <f t="shared" si="195"/>
        <v>121.75800000000001</v>
      </c>
      <c r="AE69" s="92">
        <f>AF69-SUM(AB69,AC69,AD69)</f>
        <v>63.315999999999974</v>
      </c>
      <c r="AF69" s="989">
        <f t="shared" si="195"/>
        <v>367.52</v>
      </c>
      <c r="AG69" s="92">
        <f t="shared" si="195"/>
        <v>77.09</v>
      </c>
      <c r="AH69" s="394">
        <f t="shared" si="195"/>
        <v>193.12</v>
      </c>
      <c r="AI69" s="92">
        <f t="shared" si="195"/>
        <v>145.92000000000002</v>
      </c>
      <c r="AJ69" s="92">
        <f>AK69-SUM(AG69,AH69,AI69)</f>
        <v>-4.9340000000000259</v>
      </c>
      <c r="AK69" s="989">
        <f t="shared" si="195"/>
        <v>411.19600000000003</v>
      </c>
      <c r="AL69" s="92">
        <f t="shared" si="195"/>
        <v>12.31</v>
      </c>
      <c r="AM69" s="394">
        <f t="shared" si="195"/>
        <v>135.78399999999999</v>
      </c>
      <c r="AN69" s="92">
        <f t="shared" si="195"/>
        <v>99.36</v>
      </c>
      <c r="AO69" s="92">
        <f>AP69-SUM(AL69,AM69,AN69)</f>
        <v>48.225999999999999</v>
      </c>
      <c r="AP69" s="989">
        <f t="shared" si="195"/>
        <v>295.68</v>
      </c>
      <c r="AQ69" s="92">
        <f t="shared" si="195"/>
        <v>27.236000000000001</v>
      </c>
      <c r="AR69" s="394">
        <f t="shared" si="195"/>
        <v>151.42599999999999</v>
      </c>
      <c r="AS69" s="92">
        <f t="shared" si="195"/>
        <v>200.44800000000001</v>
      </c>
      <c r="AT69" s="92">
        <f>AU69-SUM(AQ69,AR69,AS69)</f>
        <v>90.480999999999995</v>
      </c>
      <c r="AU69" s="989">
        <f>+AU58*AU137</f>
        <v>469.59100000000001</v>
      </c>
      <c r="AV69" s="92">
        <f>+AV58*AV137</f>
        <v>42.486000000000004</v>
      </c>
      <c r="AW69" s="394">
        <f>+AW58*AW137</f>
        <v>110.22</v>
      </c>
      <c r="AX69" s="92">
        <f>+AX58*AX137</f>
        <v>331.97999999999996</v>
      </c>
      <c r="AY69" s="92">
        <f>AZ69-SUM(AV69,AW69,AX69)</f>
        <v>20.469000000000051</v>
      </c>
      <c r="AZ69" s="989">
        <f>+AZ58*AZ137</f>
        <v>505.155</v>
      </c>
      <c r="BA69" s="92">
        <f>+BA58*BA137</f>
        <v>94.896000000000001</v>
      </c>
      <c r="BB69" s="394">
        <f>+BB58*BB137</f>
        <v>341.08199999999999</v>
      </c>
      <c r="BC69" s="92">
        <f>+BC58*BC137</f>
        <v>216.97</v>
      </c>
      <c r="BD69" s="92">
        <f>BE69-SUM(BA69,BB69,BC69)</f>
        <v>38.79200000000003</v>
      </c>
      <c r="BE69" s="989">
        <f>+BE58*BE137</f>
        <v>691.74</v>
      </c>
      <c r="BF69" s="92">
        <f>+BF58*BF137</f>
        <v>105.336</v>
      </c>
      <c r="BG69" s="394">
        <f>+BG58*BG137</f>
        <v>354.08100000000002</v>
      </c>
      <c r="BH69" s="464">
        <f>+BH58*BH137</f>
        <v>278.09999999999997</v>
      </c>
      <c r="BI69" s="92">
        <f>+BI58*BI137</f>
        <v>193.1678</v>
      </c>
      <c r="BJ69" s="1004">
        <f>SUM(BF69,BG69,BH69,BI69)</f>
        <v>930.6848</v>
      </c>
      <c r="BK69" s="92">
        <f>+BK58*BK137</f>
        <v>203.79546000000002</v>
      </c>
      <c r="BL69" s="92">
        <f>+BL58*BL137</f>
        <v>202.20552000000004</v>
      </c>
      <c r="BM69" s="92">
        <f>+BM58*BM137</f>
        <v>207.75942000000003</v>
      </c>
      <c r="BN69" s="92">
        <f>+BN58*BN137</f>
        <v>212.48457999999999</v>
      </c>
      <c r="BO69" s="1004">
        <f>SUM(BK69,BL69,BM69,BN69)</f>
        <v>826.24498000000017</v>
      </c>
      <c r="BP69" s="1004">
        <f>+BP58*BP137</f>
        <v>820.58236524000029</v>
      </c>
      <c r="BQ69" s="1004">
        <f>+BQ58*BQ137</f>
        <v>845.19983619720017</v>
      </c>
      <c r="BR69" s="1004">
        <f>+BR58*BR137</f>
        <v>870.55583128311616</v>
      </c>
      <c r="BS69" s="305"/>
    </row>
    <row r="70" spans="1:71" s="300" customFormat="1" ht="15">
      <c r="A70" s="593" t="s">
        <v>859</v>
      </c>
      <c r="B70" s="510"/>
      <c r="C70" s="994"/>
      <c r="D70" s="994"/>
      <c r="E70" s="994"/>
      <c r="F70" s="994"/>
      <c r="G70" s="994"/>
      <c r="H70" s="239"/>
      <c r="I70" s="239"/>
      <c r="J70" s="239"/>
      <c r="K70" s="239"/>
      <c r="L70" s="994"/>
      <c r="M70" s="239"/>
      <c r="N70" s="239"/>
      <c r="O70" s="239"/>
      <c r="P70" s="239"/>
      <c r="Q70" s="994">
        <f t="shared" si="196" ref="Q70:AS70">+Q58*Q138</f>
        <v>15246.27</v>
      </c>
      <c r="R70" s="239">
        <f t="shared" si="196"/>
        <v>3930.66</v>
      </c>
      <c r="S70" s="589">
        <f t="shared" si="196"/>
        <v>4112.1500000000005</v>
      </c>
      <c r="T70" s="239">
        <f t="shared" si="196"/>
        <v>4057.5740000000001</v>
      </c>
      <c r="U70" s="239">
        <f>SUM(U68,U69)</f>
        <v>3932.6720000000009</v>
      </c>
      <c r="V70" s="994">
        <f t="shared" si="196"/>
        <v>16033.056</v>
      </c>
      <c r="W70" s="239">
        <f t="shared" si="196"/>
        <v>3717.7200000000003</v>
      </c>
      <c r="X70" s="589">
        <f t="shared" si="196"/>
        <v>3937.1120000000001</v>
      </c>
      <c r="Y70" s="239">
        <f t="shared" si="196"/>
        <v>4059.7379999999998</v>
      </c>
      <c r="Z70" s="239">
        <f>SUM(Z68,Z69)</f>
        <v>3862.565999999998</v>
      </c>
      <c r="AA70" s="994">
        <f t="shared" si="196"/>
        <v>15577.135999999999</v>
      </c>
      <c r="AB70" s="239">
        <f t="shared" si="196"/>
        <v>3712.424</v>
      </c>
      <c r="AC70" s="589">
        <f t="shared" si="196"/>
        <v>3999.2050000000004</v>
      </c>
      <c r="AD70" s="239">
        <f t="shared" si="196"/>
        <v>4029.6100000000006</v>
      </c>
      <c r="AE70" s="239">
        <f>SUM(AE68,AE69)</f>
        <v>4108.0609999999988</v>
      </c>
      <c r="AF70" s="994">
        <f t="shared" si="196"/>
        <v>15849.300000000001</v>
      </c>
      <c r="AG70" s="239">
        <f t="shared" si="196"/>
        <v>3996.82</v>
      </c>
      <c r="AH70" s="589">
        <f t="shared" si="196"/>
        <v>4284.8499999999995</v>
      </c>
      <c r="AI70" s="239">
        <f t="shared" si="196"/>
        <v>4341.12</v>
      </c>
      <c r="AJ70" s="239">
        <f>SUM(AJ68,AJ69)</f>
        <v>4236.2460000000001</v>
      </c>
      <c r="AK70" s="994">
        <f t="shared" si="196"/>
        <v>16859.036</v>
      </c>
      <c r="AL70" s="239">
        <f t="shared" si="196"/>
        <v>3822.2550000000001</v>
      </c>
      <c r="AM70" s="589">
        <f t="shared" si="196"/>
        <v>3024.2799999999997</v>
      </c>
      <c r="AN70" s="239">
        <f t="shared" si="196"/>
        <v>3788.10</v>
      </c>
      <c r="AO70" s="239">
        <f>SUM(AO68,AO69)</f>
        <v>3656.5649999999982</v>
      </c>
      <c r="AP70" s="994">
        <f t="shared" si="196"/>
        <v>14291.20</v>
      </c>
      <c r="AQ70" s="239">
        <f t="shared" si="196"/>
        <v>3949.22</v>
      </c>
      <c r="AR70" s="589">
        <f t="shared" si="196"/>
        <v>4769.9190000000008</v>
      </c>
      <c r="AS70" s="239">
        <f t="shared" si="196"/>
        <v>5253.12</v>
      </c>
      <c r="AT70" s="239">
        <f>SUM(AT68,AT69)</f>
        <v>5391.4639999999963</v>
      </c>
      <c r="AU70" s="994">
        <f>+AU58*AU138</f>
        <v>19363.722999999998</v>
      </c>
      <c r="AV70" s="239">
        <f>+AV58*AV138</f>
        <v>5360.317</v>
      </c>
      <c r="AW70" s="589">
        <f>+AW58*AW138</f>
        <v>6032.7079999999996</v>
      </c>
      <c r="AX70" s="239">
        <f>+AX58*AX138</f>
        <v>6564.1499999999996</v>
      </c>
      <c r="AY70" s="239">
        <f>SUM(AY68,AY69)</f>
        <v>6825.1349999999975</v>
      </c>
      <c r="AZ70" s="994">
        <f>+AZ58*AZ138</f>
        <v>24782.309999999998</v>
      </c>
      <c r="BA70" s="239">
        <f>+BA58*BA138</f>
        <v>6650.6279999999997</v>
      </c>
      <c r="BB70" s="589">
        <f>+BB58*BB138</f>
        <v>7057.1490000000003</v>
      </c>
      <c r="BC70" s="239">
        <f>+BC58*BC138</f>
        <v>6751.1049999999996</v>
      </c>
      <c r="BD70" s="239">
        <f>SUM(BD68,BD69)</f>
        <v>6650.7380000000003</v>
      </c>
      <c r="BE70" s="994">
        <f>+BE58*BE138</f>
        <v>27109.619999999999</v>
      </c>
      <c r="BF70" s="239">
        <f>+BF58*BF138</f>
        <v>6697.6140000000005</v>
      </c>
      <c r="BG70" s="589">
        <f>+BG58*BG138</f>
        <v>6927.277</v>
      </c>
      <c r="BH70" s="642">
        <f>+BH58*BH138</f>
        <v>6739.29</v>
      </c>
      <c r="BI70" s="239">
        <f t="shared" si="197" ref="BI70:BR70">SUM(BI68,BI69)</f>
        <v>6857.4568999999992</v>
      </c>
      <c r="BJ70" s="1005">
        <f t="shared" si="197"/>
        <v>27221.637899999998</v>
      </c>
      <c r="BK70" s="239">
        <f t="shared" si="197"/>
        <v>7234.7388300000002</v>
      </c>
      <c r="BL70" s="239">
        <f t="shared" si="197"/>
        <v>8088.2208000000019</v>
      </c>
      <c r="BM70" s="239">
        <f t="shared" si="197"/>
        <v>7894.8579600000012</v>
      </c>
      <c r="BN70" s="239">
        <f t="shared" si="197"/>
        <v>7330.7180100000005</v>
      </c>
      <c r="BO70" s="1005">
        <f t="shared" si="197"/>
        <v>30548.535599999999</v>
      </c>
      <c r="BP70" s="1005">
        <f t="shared" si="197"/>
        <v>29540.965148640003</v>
      </c>
      <c r="BQ70" s="1005">
        <f t="shared" si="197"/>
        <v>30427.194103099206</v>
      </c>
      <c r="BR70" s="1005">
        <f t="shared" si="197"/>
        <v>31340.009926192179</v>
      </c>
      <c r="BS70" s="305"/>
    </row>
    <row r="71" spans="1:71" s="300" customFormat="1" ht="15">
      <c r="A71" s="591" t="s">
        <v>860</v>
      </c>
      <c r="B71" s="166"/>
      <c r="C71" s="989"/>
      <c r="D71" s="989"/>
      <c r="E71" s="989"/>
      <c r="F71" s="989"/>
      <c r="G71" s="989"/>
      <c r="H71" s="92"/>
      <c r="I71" s="92"/>
      <c r="J71" s="92"/>
      <c r="K71" s="92"/>
      <c r="L71" s="989"/>
      <c r="M71" s="92"/>
      <c r="N71" s="92"/>
      <c r="O71" s="92"/>
      <c r="P71" s="92"/>
      <c r="Q71" s="989">
        <f t="shared" si="198" ref="Q71:AS71">+Q58*Q139</f>
        <v>20.41</v>
      </c>
      <c r="R71" s="92">
        <f t="shared" si="198"/>
        <v>5.22</v>
      </c>
      <c r="S71" s="394">
        <f t="shared" si="198"/>
        <v>-37.142000000000003</v>
      </c>
      <c r="T71" s="92">
        <f t="shared" si="198"/>
        <v>-10.706</v>
      </c>
      <c r="U71" s="92">
        <f t="shared" si="199" ref="U71:U72">V71-SUM(R71,S71,T71)</f>
        <v>-106.22000000000001</v>
      </c>
      <c r="V71" s="989">
        <f t="shared" si="198"/>
        <v>-148.84800000000001</v>
      </c>
      <c r="W71" s="92">
        <f t="shared" si="198"/>
        <v>-86.207999999999998</v>
      </c>
      <c r="X71" s="394">
        <f t="shared" si="198"/>
        <v>-59.817999999999998</v>
      </c>
      <c r="Y71" s="92">
        <f t="shared" si="198"/>
        <v>-187.03400000000002</v>
      </c>
      <c r="Z71" s="92">
        <f t="shared" si="200" ref="Z71:Z72">AA71-SUM(W71,X71,Y71)</f>
        <v>-148.25599999999991</v>
      </c>
      <c r="AA71" s="989">
        <f t="shared" si="198"/>
        <v>-481.31599999999997</v>
      </c>
      <c r="AB71" s="92">
        <f t="shared" si="198"/>
        <v>-100.63799999999999</v>
      </c>
      <c r="AC71" s="394">
        <f t="shared" si="198"/>
        <v>-154.035</v>
      </c>
      <c r="AD71" s="92">
        <f t="shared" si="198"/>
        <v>-98.566000000000003</v>
      </c>
      <c r="AE71" s="92">
        <f t="shared" si="201" ref="AE71:AE72">AF71-SUM(AB71,AC71,AD71)</f>
        <v>-106.161</v>
      </c>
      <c r="AF71" s="989">
        <f t="shared" si="198"/>
        <v>-459.40</v>
      </c>
      <c r="AG71" s="92">
        <f t="shared" si="198"/>
        <v>-53.37</v>
      </c>
      <c r="AH71" s="394">
        <f t="shared" si="198"/>
        <v>-102.59500000000001</v>
      </c>
      <c r="AI71" s="92">
        <f t="shared" si="198"/>
        <v>-152</v>
      </c>
      <c r="AJ71" s="92">
        <f t="shared" si="202" ref="AJ71:AJ72">AK71-SUM(AG71,AH71,AI71)</f>
        <v>-30.666999999999973</v>
      </c>
      <c r="AK71" s="989">
        <f t="shared" si="198"/>
        <v>-338.63200000000001</v>
      </c>
      <c r="AL71" s="92">
        <f t="shared" si="198"/>
        <v>12.31</v>
      </c>
      <c r="AM71" s="394">
        <f t="shared" si="198"/>
        <v>-55.547999999999995</v>
      </c>
      <c r="AN71" s="92">
        <f t="shared" si="198"/>
        <v>-55.889999999999993</v>
      </c>
      <c r="AO71" s="92">
        <f t="shared" si="203" ref="AO71:AO72">AP71-SUM(AL71,AM71,AN71)</f>
        <v>0.56799999999998363</v>
      </c>
      <c r="AP71" s="989">
        <f t="shared" si="198"/>
        <v>-98.56</v>
      </c>
      <c r="AQ71" s="92">
        <f t="shared" si="198"/>
        <v>-34.045</v>
      </c>
      <c r="AR71" s="394">
        <f t="shared" si="198"/>
        <v>-34.415</v>
      </c>
      <c r="AS71" s="92">
        <f t="shared" si="198"/>
        <v>69.120000000000005</v>
      </c>
      <c r="AT71" s="92">
        <f t="shared" si="204" ref="AT71:AT72">AU71-SUM(AQ71,AR71,AS71)</f>
        <v>137.45500000000001</v>
      </c>
      <c r="AU71" s="989">
        <f>+AU58*AU139</f>
        <v>138.11500000000001</v>
      </c>
      <c r="AV71" s="92">
        <f>+AV58*AV139</f>
        <v>141.62</v>
      </c>
      <c r="AW71" s="394">
        <f>+AW58*AW139</f>
        <v>242.48400000000001</v>
      </c>
      <c r="AX71" s="92">
        <f>+AX58*AX139</f>
        <v>633.78000000000009</v>
      </c>
      <c r="AY71" s="92">
        <f>AZ71-SUM(AV71,AW71,AX71)</f>
        <v>170.71600000000001</v>
      </c>
      <c r="AZ71" s="989">
        <f>+AZ58*AZ139</f>
        <v>1188.6000000000001</v>
      </c>
      <c r="BA71" s="92">
        <f>+BA58*BA139</f>
        <v>-23.724</v>
      </c>
      <c r="BB71" s="394">
        <f>+BB58*BB139</f>
        <v>97.451999999999998</v>
      </c>
      <c r="BC71" s="92">
        <f>+BC58*BC139</f>
        <v>33.380000000000003</v>
      </c>
      <c r="BD71" s="92">
        <f>BE71-SUM(BA71,BB71,BC71)</f>
        <v>123.47200000000001</v>
      </c>
      <c r="BE71" s="989">
        <f>+BE58*BE139</f>
        <v>230.58</v>
      </c>
      <c r="BF71" s="92">
        <f>+BF58*BF139</f>
        <v>-70.224000000000004</v>
      </c>
      <c r="BG71" s="394">
        <f>+BG58*BG139</f>
        <v>-181.58</v>
      </c>
      <c r="BH71" s="464">
        <f>+BH58*BH139</f>
        <v>-64.89</v>
      </c>
      <c r="BI71" s="92">
        <f>+BI58*BI139</f>
        <v>-96.5839</v>
      </c>
      <c r="BJ71" s="1004">
        <f>SUM(BF71,BG71,BH71,BI71)</f>
        <v>-413.27790000000005</v>
      </c>
      <c r="BK71" s="92">
        <f>+BK58*BK139</f>
        <v>-101.89773000000001</v>
      </c>
      <c r="BL71" s="92">
        <f>+BL58*BL139</f>
        <v>-101.10276000000002</v>
      </c>
      <c r="BM71" s="92">
        <f>+BM58*BM139</f>
        <v>-103.87971000000002</v>
      </c>
      <c r="BN71" s="92">
        <f>+BN58*BN139</f>
        <v>-106.24229</v>
      </c>
      <c r="BO71" s="1004">
        <f>SUM(BK71,BL71,BM71,BN71)</f>
        <v>-413.12249000000008</v>
      </c>
      <c r="BP71" s="1004">
        <f>+BP58*BP139</f>
        <v>-410.29118262000014</v>
      </c>
      <c r="BQ71" s="1004">
        <f>+BQ58*BQ139</f>
        <v>-422.59991809860009</v>
      </c>
      <c r="BR71" s="1004">
        <f>+BR58*BR139</f>
        <v>-435.27791564155808</v>
      </c>
      <c r="BS71" s="305"/>
    </row>
    <row r="72" spans="1:71" s="300" customFormat="1" ht="15">
      <c r="A72" s="591" t="s">
        <v>861</v>
      </c>
      <c r="B72" s="166"/>
      <c r="C72" s="989"/>
      <c r="D72" s="989"/>
      <c r="E72" s="989"/>
      <c r="F72" s="989"/>
      <c r="G72" s="989"/>
      <c r="H72" s="92"/>
      <c r="I72" s="92"/>
      <c r="J72" s="92"/>
      <c r="K72" s="92"/>
      <c r="L72" s="989"/>
      <c r="M72" s="92"/>
      <c r="N72" s="92"/>
      <c r="O72" s="92"/>
      <c r="P72" s="92"/>
      <c r="Q72" s="989">
        <f t="shared" si="205" ref="Q72:AS72">+Q58*Q140</f>
        <v>-20.41</v>
      </c>
      <c r="R72" s="92">
        <f t="shared" si="205"/>
        <v>-5.22</v>
      </c>
      <c r="S72" s="394">
        <f t="shared" si="205"/>
        <v>-5.306</v>
      </c>
      <c r="T72" s="92">
        <f t="shared" si="205"/>
        <v>-5.3529999999999998</v>
      </c>
      <c r="U72" s="92">
        <f t="shared" si="199"/>
        <v>15.879</v>
      </c>
      <c r="V72" s="989">
        <f t="shared" si="205"/>
        <v>0</v>
      </c>
      <c r="W72" s="92">
        <f t="shared" si="205"/>
        <v>-5.3879999999999999</v>
      </c>
      <c r="X72" s="394">
        <f t="shared" si="205"/>
        <v>-5.4379999999999997</v>
      </c>
      <c r="Y72" s="92">
        <f t="shared" si="205"/>
        <v>-5.5010000000000003</v>
      </c>
      <c r="Z72" s="92">
        <f t="shared" si="200"/>
        <v>-5.5509999999999984</v>
      </c>
      <c r="AA72" s="989">
        <f t="shared" si="205"/>
        <v>-21.878</v>
      </c>
      <c r="AB72" s="92">
        <f t="shared" si="205"/>
        <v>-27.955</v>
      </c>
      <c r="AC72" s="394">
        <f t="shared" si="205"/>
        <v>-5.705</v>
      </c>
      <c r="AD72" s="92">
        <f t="shared" si="205"/>
        <v>-5.798</v>
      </c>
      <c r="AE72" s="92">
        <f t="shared" si="201"/>
        <v>-6.4819999999999922</v>
      </c>
      <c r="AF72" s="989">
        <f t="shared" si="205"/>
        <v>-45.94</v>
      </c>
      <c r="AG72" s="92">
        <f t="shared" si="205"/>
        <v>0</v>
      </c>
      <c r="AH72" s="394">
        <f t="shared" si="205"/>
        <v>-6.035</v>
      </c>
      <c r="AI72" s="92">
        <f t="shared" si="205"/>
        <v>0</v>
      </c>
      <c r="AJ72" s="92">
        <f t="shared" si="202"/>
        <v>-18.152999999999999</v>
      </c>
      <c r="AK72" s="989">
        <f t="shared" si="205"/>
        <v>-24.187999999999999</v>
      </c>
      <c r="AL72" s="92">
        <f t="shared" si="205"/>
        <v>-6.155</v>
      </c>
      <c r="AM72" s="394">
        <f t="shared" si="205"/>
        <v>-6.1719999999999997</v>
      </c>
      <c r="AN72" s="92">
        <f t="shared" si="205"/>
        <v>-24.84</v>
      </c>
      <c r="AO72" s="92">
        <f t="shared" si="203"/>
        <v>12.527000000000001</v>
      </c>
      <c r="AP72" s="989">
        <f t="shared" si="205"/>
        <v>-24.64</v>
      </c>
      <c r="AQ72" s="92">
        <f t="shared" si="205"/>
        <v>-20.427</v>
      </c>
      <c r="AR72" s="394">
        <f t="shared" si="205"/>
        <v>-6.883</v>
      </c>
      <c r="AS72" s="92">
        <f t="shared" si="205"/>
        <v>-6.9119999999999999</v>
      </c>
      <c r="AT72" s="92">
        <f t="shared" si="204"/>
        <v>6.5990000000000002</v>
      </c>
      <c r="AU72" s="989">
        <f>+AU58*AU140</f>
        <v>-27.623000000000001</v>
      </c>
      <c r="AV72" s="92">
        <f>+AV58*AV140</f>
        <v>-7.0810000000000004</v>
      </c>
      <c r="AW72" s="394">
        <f>+AW58*AW140</f>
        <v>-36.74</v>
      </c>
      <c r="AX72" s="92">
        <f>+AX58*AX140</f>
        <v>-7.545</v>
      </c>
      <c r="AY72" s="92">
        <f t="shared" si="206" ref="AY72">AZ72-SUM(AV72,AW72,AX72)</f>
        <v>-8.063999999999993</v>
      </c>
      <c r="AZ72" s="989">
        <f>+AZ58*AZ140</f>
        <v>-59.43</v>
      </c>
      <c r="BA72" s="92">
        <f>+BA58*BA140</f>
        <v>-31.632000000000001</v>
      </c>
      <c r="BB72" s="394">
        <f>+BB58*BB140</f>
        <v>-16.242000000000001</v>
      </c>
      <c r="BC72" s="92">
        <f>+BC58*BC140</f>
        <v>8.3450000000000006</v>
      </c>
      <c r="BD72" s="92">
        <f>BE72-SUM(BA72,BB72,BC72)</f>
        <v>-26.350999999999992</v>
      </c>
      <c r="BE72" s="989">
        <f>+BE58*BE140</f>
        <v>-65.879999999999995</v>
      </c>
      <c r="BF72" s="92">
        <f>+BF58*BF140</f>
        <v>-8.7780000000000005</v>
      </c>
      <c r="BG72" s="394">
        <f>+BG58*BG140</f>
        <v>-9.0790000000000006</v>
      </c>
      <c r="BH72" s="464">
        <f>+BH58*BH140</f>
        <v>-9.27</v>
      </c>
      <c r="BI72" s="92">
        <f>+BI58*BI140</f>
        <v>-9.6583899999999989</v>
      </c>
      <c r="BJ72" s="1004">
        <f>SUM(BF72,BG72,BH72,BI72)</f>
        <v>-36.78539</v>
      </c>
      <c r="BK72" s="92">
        <f>+BK58*BK140</f>
        <v>-10.189773000000001</v>
      </c>
      <c r="BL72" s="92">
        <f>+BL58*BL140</f>
        <v>-10.110276000000002</v>
      </c>
      <c r="BM72" s="92">
        <f>+BM58*BM140</f>
        <v>-10.387971000000002</v>
      </c>
      <c r="BN72" s="92">
        <f>+BN58*BN140</f>
        <v>-10.624229</v>
      </c>
      <c r="BO72" s="1004">
        <f>SUM(BK72,BL72,BM72,BN72)</f>
        <v>-41.312249000000001</v>
      </c>
      <c r="BP72" s="1004">
        <f>+BP58*BP140</f>
        <v>-41.029118262000011</v>
      </c>
      <c r="BQ72" s="1004">
        <f>+BQ58*BQ140</f>
        <v>-42.259991809860011</v>
      </c>
      <c r="BR72" s="1004">
        <f>+BR58*BR140</f>
        <v>-43.527791564155805</v>
      </c>
      <c r="BS72" s="305"/>
    </row>
    <row r="73" spans="1:71" s="300" customFormat="1" ht="15">
      <c r="A73" s="588" t="s">
        <v>772</v>
      </c>
      <c r="B73" s="510"/>
      <c r="C73" s="994"/>
      <c r="D73" s="994"/>
      <c r="E73" s="994"/>
      <c r="F73" s="994"/>
      <c r="G73" s="994"/>
      <c r="H73" s="239"/>
      <c r="I73" s="239"/>
      <c r="J73" s="239"/>
      <c r="K73" s="239"/>
      <c r="L73" s="994"/>
      <c r="M73" s="239"/>
      <c r="N73" s="239"/>
      <c r="O73" s="239"/>
      <c r="P73" s="239"/>
      <c r="Q73" s="994">
        <f>Q58*Q141</f>
        <v>15246.27</v>
      </c>
      <c r="R73" s="239">
        <f>R58*R141</f>
        <v>3930.66</v>
      </c>
      <c r="S73" s="589">
        <f>S58*S141</f>
        <v>4069.7020000000002</v>
      </c>
      <c r="T73" s="239">
        <f>T58*T141</f>
        <v>4041.5149999999999</v>
      </c>
      <c r="U73" s="239">
        <f>SUM(U70,U71,U72)</f>
        <v>3842.331000000001</v>
      </c>
      <c r="V73" s="994">
        <f>V58*V141</f>
        <v>15884.208000000001</v>
      </c>
      <c r="W73" s="239">
        <f>W58*W141</f>
        <v>3626.1240000000003</v>
      </c>
      <c r="X73" s="589">
        <f>X58*X141</f>
        <v>3871.8559999999998</v>
      </c>
      <c r="Y73" s="239">
        <f>Y58*Y141</f>
        <v>3867.203</v>
      </c>
      <c r="Z73" s="239">
        <f>SUM(Z70,Z71,Z72)</f>
        <v>3708.7589999999982</v>
      </c>
      <c r="AA73" s="994">
        <f>AA58*AA141</f>
        <v>15073.941999999999</v>
      </c>
      <c r="AB73" s="239">
        <f>AB58*AB141</f>
        <v>3583.8310000000001</v>
      </c>
      <c r="AC73" s="589">
        <f>AC58*AC141</f>
        <v>3839.4650000000001</v>
      </c>
      <c r="AD73" s="239">
        <f>AD58*AD141</f>
        <v>3925.2460000000001</v>
      </c>
      <c r="AE73" s="239">
        <f>SUM(AE70,AE71,AE72)</f>
        <v>3995.4179999999988</v>
      </c>
      <c r="AF73" s="994">
        <f>AF58*AF141</f>
        <v>15343.96</v>
      </c>
      <c r="AG73" s="239">
        <f>AG58*AG141</f>
        <v>3943.4500000000003</v>
      </c>
      <c r="AH73" s="589">
        <f>AH58*AH141</f>
        <v>4176.2199999999993</v>
      </c>
      <c r="AI73" s="239">
        <f>AI58*AI141</f>
        <v>4189.12</v>
      </c>
      <c r="AJ73" s="239">
        <f>SUM(AJ70,AJ71,AJ72)</f>
        <v>4187.4259999999995</v>
      </c>
      <c r="AK73" s="994">
        <f>AK58*AK141</f>
        <v>16496.216</v>
      </c>
      <c r="AL73" s="239">
        <f>AL58*AL141</f>
        <v>3828.41</v>
      </c>
      <c r="AM73" s="589">
        <f>AM58*AM141</f>
        <v>2962.56</v>
      </c>
      <c r="AN73" s="239">
        <f>AN58*AN141</f>
        <v>3707.37</v>
      </c>
      <c r="AO73" s="239">
        <f>SUM(AO70,AO71,AO72)</f>
        <v>3669.659999999998</v>
      </c>
      <c r="AP73" s="994">
        <f>AP58*AP141</f>
        <v>14167.999999999998</v>
      </c>
      <c r="AQ73" s="239">
        <f>AQ58*AQ141</f>
        <v>3894.7479999999996</v>
      </c>
      <c r="AR73" s="589">
        <f>AR58*AR141</f>
        <v>4728.6210000000001</v>
      </c>
      <c r="AS73" s="239">
        <f>AS58*AS141</f>
        <v>5315.3280000000004</v>
      </c>
      <c r="AT73" s="239">
        <f>SUM(AT70,AT71,AT72)</f>
        <v>5535.5179999999964</v>
      </c>
      <c r="AU73" s="994">
        <f>AU58*AU141</f>
        <v>19474.215</v>
      </c>
      <c r="AV73" s="239">
        <f>AV58*AV141</f>
        <v>5494.8559999999998</v>
      </c>
      <c r="AW73" s="589">
        <f>AW58*AW141</f>
        <v>6238.4520000000002</v>
      </c>
      <c r="AX73" s="239">
        <f>AX58*AX141</f>
        <v>7190.3849999999993</v>
      </c>
      <c r="AY73" s="239">
        <f>SUM(AY70,AY71,AY72)</f>
        <v>6987.7869999999975</v>
      </c>
      <c r="AZ73" s="994">
        <f>AZ58*AZ141</f>
        <v>25911.48</v>
      </c>
      <c r="BA73" s="239">
        <f>BA58*BA141</f>
        <v>6595.2719999999999</v>
      </c>
      <c r="BB73" s="589">
        <f>BB58*BB141</f>
        <v>7138.3590000000004</v>
      </c>
      <c r="BC73" s="239">
        <f>BC58*BC141</f>
        <v>6792.8299999999999</v>
      </c>
      <c r="BD73" s="239">
        <f>SUM(BD70,BD71,BD72)</f>
        <v>6747.8590000000004</v>
      </c>
      <c r="BE73" s="994">
        <f>BE58*BE141</f>
        <v>27274.32</v>
      </c>
      <c r="BF73" s="239">
        <f>BF58*BF141</f>
        <v>6618.6120000000001</v>
      </c>
      <c r="BG73" s="589">
        <f>BG58*BG141</f>
        <v>6736.6179999999995</v>
      </c>
      <c r="BH73" s="642">
        <f>BH58*BH141</f>
        <v>6665.1300000000001</v>
      </c>
      <c r="BI73" s="239">
        <f t="shared" si="207" ref="BI73:BR73">SUM(BI70,BI71,BI72)</f>
        <v>6751.21461</v>
      </c>
      <c r="BJ73" s="1005">
        <f t="shared" si="207"/>
        <v>26771.574609999996</v>
      </c>
      <c r="BK73" s="239">
        <f t="shared" si="207"/>
        <v>7122.6513270000005</v>
      </c>
      <c r="BL73" s="239">
        <f t="shared" si="207"/>
        <v>7977.0077640000018</v>
      </c>
      <c r="BM73" s="239">
        <f t="shared" si="207"/>
        <v>7780.5902790000009</v>
      </c>
      <c r="BN73" s="239">
        <f t="shared" si="207"/>
        <v>7213.8514910000004</v>
      </c>
      <c r="BO73" s="1005">
        <f t="shared" si="207"/>
        <v>30094.100860999999</v>
      </c>
      <c r="BP73" s="1005">
        <f t="shared" si="207"/>
        <v>29089.644847758005</v>
      </c>
      <c r="BQ73" s="1005">
        <f t="shared" si="207"/>
        <v>29962.334193190745</v>
      </c>
      <c r="BR73" s="1005">
        <f t="shared" si="207"/>
        <v>30861.204218986466</v>
      </c>
      <c r="BS73" s="305"/>
    </row>
    <row r="74" spans="1:71" s="300" customFormat="1" ht="15">
      <c r="A74" s="592" t="s">
        <v>862</v>
      </c>
      <c r="B74" s="166"/>
      <c r="C74" s="989"/>
      <c r="D74" s="989"/>
      <c r="E74" s="989"/>
      <c r="F74" s="989"/>
      <c r="G74" s="989"/>
      <c r="H74" s="92"/>
      <c r="I74" s="92"/>
      <c r="J74" s="92"/>
      <c r="K74" s="92"/>
      <c r="L74" s="989"/>
      <c r="M74" s="92"/>
      <c r="N74" s="92"/>
      <c r="O74" s="92"/>
      <c r="P74" s="92"/>
      <c r="Q74" s="989">
        <f t="shared" si="208" ref="Q74:AS74">+Q59*Q142</f>
        <v>2733.0879999999997</v>
      </c>
      <c r="R74" s="92">
        <f t="shared" si="208"/>
        <v>676.94</v>
      </c>
      <c r="S74" s="394">
        <f t="shared" si="208"/>
        <v>644.32499999999993</v>
      </c>
      <c r="T74" s="92">
        <f t="shared" si="208"/>
        <v>690.75300000000004</v>
      </c>
      <c r="U74" s="92">
        <f>V74-SUM(R74,S74,T74)</f>
        <v>673.07200000000012</v>
      </c>
      <c r="V74" s="989">
        <f t="shared" si="208"/>
        <v>2685.09</v>
      </c>
      <c r="W74" s="92">
        <f t="shared" si="208"/>
        <v>695.145</v>
      </c>
      <c r="X74" s="394">
        <f t="shared" si="208"/>
        <v>700.59</v>
      </c>
      <c r="Y74" s="92">
        <f t="shared" si="208"/>
        <v>703.48800000000006</v>
      </c>
      <c r="Z74" s="92">
        <f>AA74-SUM(W74,X74,Y74)</f>
        <v>671.26700000000028</v>
      </c>
      <c r="AA74" s="989">
        <f t="shared" si="208"/>
        <v>2770.49</v>
      </c>
      <c r="AB74" s="92">
        <f t="shared" si="208"/>
        <v>676.36799999999994</v>
      </c>
      <c r="AC74" s="394">
        <f t="shared" si="208"/>
        <v>667.31200000000001</v>
      </c>
      <c r="AD74" s="92">
        <f t="shared" si="208"/>
        <v>777.20100000000002</v>
      </c>
      <c r="AE74" s="92">
        <f>AF74-SUM(AB74,AC74,AD74)</f>
        <v>765.64699999999993</v>
      </c>
      <c r="AF74" s="989">
        <f t="shared" si="208"/>
        <v>2886.5279999999998</v>
      </c>
      <c r="AG74" s="92">
        <f t="shared" si="208"/>
        <v>700.4699999999998</v>
      </c>
      <c r="AH74" s="394">
        <f t="shared" si="208"/>
        <v>771.45199999999988</v>
      </c>
      <c r="AI74" s="92">
        <f t="shared" si="208"/>
        <v>840.73699999999985</v>
      </c>
      <c r="AJ74" s="92">
        <f>AK74-SUM(AG74,AH74,AI74)</f>
        <v>749.28500000000031</v>
      </c>
      <c r="AK74" s="989">
        <f t="shared" si="208"/>
        <v>3061.944</v>
      </c>
      <c r="AL74" s="92">
        <f t="shared" si="208"/>
        <v>827.02200000000005</v>
      </c>
      <c r="AM74" s="394">
        <f t="shared" si="208"/>
        <v>739.43999999999983</v>
      </c>
      <c r="AN74" s="92">
        <f t="shared" si="208"/>
        <v>1753.7580000000003</v>
      </c>
      <c r="AO74" s="92">
        <f>AP74-SUM(AL74,AM74,AN74)</f>
        <v>790.27200000000084</v>
      </c>
      <c r="AP74" s="989">
        <f t="shared" si="208"/>
        <v>4110.4920000000011</v>
      </c>
      <c r="AQ74" s="92">
        <f t="shared" si="208"/>
        <v>1468.6879999999999</v>
      </c>
      <c r="AR74" s="394">
        <f t="shared" si="208"/>
        <v>1043.963</v>
      </c>
      <c r="AS74" s="92">
        <f t="shared" si="208"/>
        <v>1187.8619999999999</v>
      </c>
      <c r="AT74" s="92">
        <f>AU74-SUM(AQ74,AR74,AS74)</f>
        <v>1173.6440000000002</v>
      </c>
      <c r="AU74" s="989">
        <f>+AU59*AU142</f>
        <v>4874.1570000000002</v>
      </c>
      <c r="AV74" s="92">
        <f>+AV59*AV142</f>
        <v>1172.79</v>
      </c>
      <c r="AW74" s="394">
        <f>+AW59*AW142</f>
        <v>1036.6639999999998</v>
      </c>
      <c r="AX74" s="92">
        <f>+AX59*AX142</f>
        <v>1371.1980000000001</v>
      </c>
      <c r="AY74" s="92">
        <f>AZ74-SUM(AV74,AW74,AX74)</f>
        <v>1305.3899999999994</v>
      </c>
      <c r="AZ74" s="989">
        <f>+AZ59*AZ142</f>
        <v>4886.0419999999995</v>
      </c>
      <c r="BA74" s="92">
        <f>+BA59*BA142</f>
        <v>1343.1799999999998</v>
      </c>
      <c r="BB74" s="394">
        <f>+BB59*BB142</f>
        <v>1271.4029999999998</v>
      </c>
      <c r="BC74" s="92">
        <f>+BC59*BC142</f>
        <v>1487.4689999999996</v>
      </c>
      <c r="BD74" s="92">
        <f>BE74-SUM(BA74,BB74,BC74)</f>
        <v>1262.6710000000003</v>
      </c>
      <c r="BE74" s="989">
        <f>+BE59*BE142</f>
        <v>5364.723</v>
      </c>
      <c r="BF74" s="92">
        <f>+BF59*BF142</f>
        <v>1684.2360000000001</v>
      </c>
      <c r="BG74" s="394">
        <f>+BG59*BG142</f>
        <v>1640.52</v>
      </c>
      <c r="BH74" s="464">
        <f>+BH59*BH142</f>
        <v>1378.215</v>
      </c>
      <c r="BI74" s="92">
        <f>+BI59*BI142</f>
        <v>1463.5319999999999</v>
      </c>
      <c r="BJ74" s="1004">
        <f>SUM(BF74,BG74,BH74,BI74)</f>
        <v>6166.5030000000006</v>
      </c>
      <c r="BK74" s="92">
        <f>+BK59*BK142</f>
        <v>1478.673</v>
      </c>
      <c r="BL74" s="92">
        <f>+BL59*BL142</f>
        <v>1978.2525000000001</v>
      </c>
      <c r="BM74" s="92">
        <f>+BM59*BM142</f>
        <v>2095.5585000000001</v>
      </c>
      <c r="BN74" s="92">
        <f>+BN59*BN142</f>
        <v>1536.7085999999999</v>
      </c>
      <c r="BO74" s="1004">
        <f>SUM(BK74,BL74,BM74,BN74)</f>
        <v>7089.1926000000003</v>
      </c>
      <c r="BP74" s="1004">
        <f>+BP59*BP142</f>
        <v>7376.3772390000004</v>
      </c>
      <c r="BQ74" s="1004">
        <f>+BQ59*BQ142</f>
        <v>7520.9244293400006</v>
      </c>
      <c r="BR74" s="1004">
        <f>+BR59*BR142</f>
        <v>7746.5521622202014</v>
      </c>
      <c r="BS74" s="305"/>
    </row>
    <row r="75" spans="1:71" s="300" customFormat="1" ht="15">
      <c r="A75" s="592" t="s">
        <v>863</v>
      </c>
      <c r="B75" s="166"/>
      <c r="C75" s="989"/>
      <c r="D75" s="989"/>
      <c r="E75" s="989"/>
      <c r="F75" s="989"/>
      <c r="G75" s="989"/>
      <c r="H75" s="92"/>
      <c r="I75" s="92"/>
      <c r="J75" s="92"/>
      <c r="K75" s="92"/>
      <c r="L75" s="989"/>
      <c r="M75" s="92"/>
      <c r="N75" s="92"/>
      <c r="O75" s="92"/>
      <c r="P75" s="92"/>
      <c r="Q75" s="989">
        <f t="shared" si="209" ref="Q75:AS75">+Q59*Q143</f>
        <v>1313.0239999999999</v>
      </c>
      <c r="R75" s="92">
        <f t="shared" si="209"/>
        <v>613.59</v>
      </c>
      <c r="S75" s="394">
        <f t="shared" si="209"/>
        <v>678.81</v>
      </c>
      <c r="T75" s="92">
        <f t="shared" si="209"/>
        <v>284.64100000000002</v>
      </c>
      <c r="U75" s="92">
        <f>V75-SUM(R75,S75,T75)</f>
        <v>193.66699999999969</v>
      </c>
      <c r="V75" s="989">
        <f t="shared" si="209"/>
        <v>1770.7079999999999</v>
      </c>
      <c r="W75" s="92">
        <f t="shared" si="209"/>
        <v>638.88</v>
      </c>
      <c r="X75" s="394">
        <f t="shared" si="209"/>
        <v>700.59</v>
      </c>
      <c r="Y75" s="92">
        <f t="shared" si="209"/>
        <v>395.71199999999999</v>
      </c>
      <c r="Z75" s="92">
        <f>AA75-SUM(W75,X75,Y75)</f>
        <v>545.53799999999978</v>
      </c>
      <c r="AA75" s="989">
        <f t="shared" si="209"/>
        <v>2280.7199999999998</v>
      </c>
      <c r="AB75" s="92">
        <f t="shared" si="209"/>
        <v>327.096</v>
      </c>
      <c r="AC75" s="394">
        <f t="shared" si="209"/>
        <v>674.76800000000003</v>
      </c>
      <c r="AD75" s="92">
        <f t="shared" si="209"/>
        <v>444.385</v>
      </c>
      <c r="AE75" s="92">
        <f>AF75-SUM(AB75,AC75,AD75)</f>
        <v>808.85099999999989</v>
      </c>
      <c r="AF75" s="989">
        <f t="shared" si="209"/>
        <v>2255.10</v>
      </c>
      <c r="AG75" s="92">
        <f t="shared" si="209"/>
        <v>539.865</v>
      </c>
      <c r="AH75" s="394">
        <f t="shared" si="209"/>
        <v>818.44399999999996</v>
      </c>
      <c r="AI75" s="92">
        <f t="shared" si="209"/>
        <v>339.49</v>
      </c>
      <c r="AJ75" s="92">
        <f>AK75-SUM(AG75,AH75,AI75)</f>
        <v>264.37699999999995</v>
      </c>
      <c r="AK75" s="989">
        <f t="shared" si="209"/>
        <v>1962.1759999999999</v>
      </c>
      <c r="AL75" s="92">
        <f t="shared" si="209"/>
        <v>183.32999999999998</v>
      </c>
      <c r="AM75" s="394">
        <f t="shared" si="209"/>
        <v>953.05600000000004</v>
      </c>
      <c r="AN75" s="92">
        <f t="shared" si="209"/>
        <v>810.54300000000001</v>
      </c>
      <c r="AO75" s="92">
        <f>AP75-SUM(AL75,AM75,AN75)</f>
        <v>355.9369999999999</v>
      </c>
      <c r="AP75" s="989">
        <f t="shared" si="209"/>
        <v>2302.866</v>
      </c>
      <c r="AQ75" s="92">
        <f t="shared" si="209"/>
        <v>495.14399999999995</v>
      </c>
      <c r="AR75" s="394">
        <f t="shared" si="209"/>
        <v>730.53300000000002</v>
      </c>
      <c r="AS75" s="92">
        <f t="shared" si="209"/>
        <v>958.36</v>
      </c>
      <c r="AT75" s="92">
        <f>AU75-SUM(AQ75,AR75,AS75)</f>
        <v>426.76400000000012</v>
      </c>
      <c r="AU75" s="989">
        <f>+AU59*AU143</f>
        <v>2610.8009999999999</v>
      </c>
      <c r="AV75" s="92">
        <f>+AV59*AV143</f>
        <v>383.46</v>
      </c>
      <c r="AW75" s="394">
        <f>+AW59*AW143</f>
        <v>913.49599999999998</v>
      </c>
      <c r="AX75" s="92">
        <f>+AX59*AX143</f>
        <v>354.02800000000002</v>
      </c>
      <c r="AY75" s="92">
        <f>AZ75-SUM(AV75,AW75,AX75)</f>
        <v>599.30400000000009</v>
      </c>
      <c r="AZ75" s="989">
        <f>+AZ59*AZ143</f>
        <v>2250.288</v>
      </c>
      <c r="BA75" s="92">
        <f>+BA59*BA143</f>
        <v>1449.96</v>
      </c>
      <c r="BB75" s="394">
        <f>+BB59*BB143</f>
        <v>2188.1970000000001</v>
      </c>
      <c r="BC75" s="92">
        <f>+BC59*BC143</f>
        <v>878.82399999999996</v>
      </c>
      <c r="BD75" s="92">
        <f>BE75-SUM(BA75,BB75,BC75)</f>
        <v>14.273000000000138</v>
      </c>
      <c r="BE75" s="989">
        <f>+BE59*BE143</f>
        <v>4531.2539999999999</v>
      </c>
      <c r="BF75" s="92">
        <f>+BF59*BF143</f>
        <v>555.10399999999993</v>
      </c>
      <c r="BG75" s="394">
        <f>+BG59*BG143</f>
        <v>1614.48</v>
      </c>
      <c r="BH75" s="464">
        <f>+BH59*BH143</f>
        <v>1231.886</v>
      </c>
      <c r="BI75" s="92">
        <f>+BI59*BI143</f>
        <v>585.41279999999995</v>
      </c>
      <c r="BJ75" s="1004">
        <f>SUM(BF75,BG75,BH75,BI75)</f>
        <v>3986.8827999999999</v>
      </c>
      <c r="BK75" s="92">
        <f>+BK59*BK143</f>
        <v>591.4692</v>
      </c>
      <c r="BL75" s="92">
        <f>+BL59*BL143</f>
        <v>791.30100000000004</v>
      </c>
      <c r="BM75" s="92">
        <f>+BM59*BM143</f>
        <v>838.22340000000008</v>
      </c>
      <c r="BN75" s="92">
        <f>+BN59*BN143</f>
        <v>614.68344000000002</v>
      </c>
      <c r="BO75" s="1004">
        <f>SUM(BK75,BL75,BM75,BN75)</f>
        <v>2835.6770399999996</v>
      </c>
      <c r="BP75" s="1004">
        <f>+BP59*BP143</f>
        <v>2950.5508956000003</v>
      </c>
      <c r="BQ75" s="1004">
        <f>+BQ59*BQ143</f>
        <v>3008.3697717360005</v>
      </c>
      <c r="BR75" s="1004">
        <f>+BR59*BR143</f>
        <v>3098.6208648880806</v>
      </c>
      <c r="BS75" s="305"/>
    </row>
    <row r="76" spans="1:71" s="300" customFormat="1" ht="15">
      <c r="A76" s="593" t="s">
        <v>864</v>
      </c>
      <c r="B76" s="510"/>
      <c r="C76" s="994"/>
      <c r="D76" s="994"/>
      <c r="E76" s="994"/>
      <c r="F76" s="994"/>
      <c r="G76" s="994"/>
      <c r="H76" s="239"/>
      <c r="I76" s="239"/>
      <c r="J76" s="239"/>
      <c r="K76" s="239"/>
      <c r="L76" s="994"/>
      <c r="M76" s="239"/>
      <c r="N76" s="239"/>
      <c r="O76" s="239"/>
      <c r="P76" s="239"/>
      <c r="Q76" s="994">
        <f t="shared" si="210" ref="Q76:AS76">+Q59*Q144</f>
        <v>4046.1119999999996</v>
      </c>
      <c r="R76" s="239">
        <f t="shared" si="210"/>
        <v>1290.53</v>
      </c>
      <c r="S76" s="589">
        <f t="shared" si="210"/>
        <v>1323.135</v>
      </c>
      <c r="T76" s="239">
        <f t="shared" si="210"/>
        <v>975.39400000000001</v>
      </c>
      <c r="U76" s="239">
        <f>SUM(U74,U75)</f>
        <v>866.73899999999981</v>
      </c>
      <c r="V76" s="994">
        <f t="shared" si="210"/>
        <v>4455.7979999999998</v>
      </c>
      <c r="W76" s="239">
        <f t="shared" si="210"/>
        <v>1334.025</v>
      </c>
      <c r="X76" s="589">
        <f t="shared" si="210"/>
        <v>1401.18</v>
      </c>
      <c r="Y76" s="239">
        <f t="shared" si="210"/>
        <v>1099.20</v>
      </c>
      <c r="Z76" s="239">
        <f>SUM(Z74,Z75)</f>
        <v>1216.8050000000001</v>
      </c>
      <c r="AA76" s="994">
        <f t="shared" si="210"/>
        <v>5051.21</v>
      </c>
      <c r="AB76" s="239">
        <f t="shared" si="210"/>
        <v>1003.4639999999998</v>
      </c>
      <c r="AC76" s="589">
        <f t="shared" si="210"/>
        <v>1342.08</v>
      </c>
      <c r="AD76" s="239">
        <f t="shared" si="210"/>
        <v>1221.586</v>
      </c>
      <c r="AE76" s="239">
        <f>SUM(AE74,AE75)</f>
        <v>1574.4979999999998</v>
      </c>
      <c r="AF76" s="994">
        <f t="shared" si="210"/>
        <v>5141.6279999999997</v>
      </c>
      <c r="AG76" s="239">
        <f t="shared" si="210"/>
        <v>1240.3349999999998</v>
      </c>
      <c r="AH76" s="589">
        <f t="shared" si="210"/>
        <v>1589.896</v>
      </c>
      <c r="AI76" s="239">
        <f t="shared" si="210"/>
        <v>1180.2269999999999</v>
      </c>
      <c r="AJ76" s="239">
        <f>SUM(AJ74,AJ75)</f>
        <v>1013.6620000000003</v>
      </c>
      <c r="AK76" s="994">
        <f t="shared" si="210"/>
        <v>5024.12</v>
      </c>
      <c r="AL76" s="239">
        <f t="shared" si="210"/>
        <v>1010.352</v>
      </c>
      <c r="AM76" s="589">
        <f t="shared" si="210"/>
        <v>1692.4959999999999</v>
      </c>
      <c r="AN76" s="239">
        <f t="shared" si="210"/>
        <v>2564.3010000000004</v>
      </c>
      <c r="AO76" s="239">
        <f>SUM(AO74,AO75)</f>
        <v>1146.2090000000007</v>
      </c>
      <c r="AP76" s="994">
        <f t="shared" si="210"/>
        <v>6413.3580000000011</v>
      </c>
      <c r="AQ76" s="239">
        <f t="shared" si="210"/>
        <v>1963.8319999999999</v>
      </c>
      <c r="AR76" s="589">
        <f t="shared" si="210"/>
        <v>1774.4959999999999</v>
      </c>
      <c r="AS76" s="239">
        <f t="shared" si="210"/>
        <v>2146.2219999999998</v>
      </c>
      <c r="AT76" s="239">
        <f>SUM(AT74,AT75)</f>
        <v>1600.4080000000004</v>
      </c>
      <c r="AU76" s="994">
        <f>+AU59*AU144</f>
        <v>7484.9579999999996</v>
      </c>
      <c r="AV76" s="239">
        <f>+AV59*AV144</f>
        <v>1556.25</v>
      </c>
      <c r="AW76" s="589">
        <f>+AW59*AW144</f>
        <v>1950.1599999999996</v>
      </c>
      <c r="AX76" s="239">
        <f>+AX59*AX144</f>
        <v>1725.2260000000001</v>
      </c>
      <c r="AY76" s="239">
        <f>SUM(AY74,AY75)</f>
        <v>1904.6939999999995</v>
      </c>
      <c r="AZ76" s="994">
        <f>+AZ59*AZ144</f>
        <v>7136.329999999999</v>
      </c>
      <c r="BA76" s="239">
        <f>+BA59*BA144</f>
        <v>2793.14</v>
      </c>
      <c r="BB76" s="589">
        <f>+BB59*BB144</f>
        <v>3459.60</v>
      </c>
      <c r="BC76" s="239">
        <f>+BC59*BC144</f>
        <v>2366.2929999999997</v>
      </c>
      <c r="BD76" s="239">
        <f>SUM(BD74,BD75)</f>
        <v>1276.9440000000004</v>
      </c>
      <c r="BE76" s="994">
        <f>+BE59*BE144</f>
        <v>9895.976999999999</v>
      </c>
      <c r="BF76" s="239">
        <f>+BF59*BF144</f>
        <v>2239.3399999999997</v>
      </c>
      <c r="BG76" s="589">
        <f>+BG59*BG144</f>
        <v>3255</v>
      </c>
      <c r="BH76" s="642">
        <f>+BH59*BH144</f>
        <v>2610.1010000000001</v>
      </c>
      <c r="BI76" s="239">
        <f t="shared" si="211" ref="BI76:BR76">SUM(BI74,BI75)</f>
        <v>2048.9447999999998</v>
      </c>
      <c r="BJ76" s="1005">
        <f t="shared" si="211"/>
        <v>10153.3858</v>
      </c>
      <c r="BK76" s="239">
        <f t="shared" si="211"/>
        <v>2070.1422000000002</v>
      </c>
      <c r="BL76" s="239">
        <f t="shared" si="211"/>
        <v>2769.5535</v>
      </c>
      <c r="BM76" s="239">
        <f t="shared" si="211"/>
        <v>2933.7819</v>
      </c>
      <c r="BN76" s="239">
        <f t="shared" si="211"/>
        <v>2151.3920399999997</v>
      </c>
      <c r="BO76" s="1005">
        <f t="shared" si="211"/>
        <v>9924.8696400000008</v>
      </c>
      <c r="BP76" s="1005">
        <f t="shared" si="211"/>
        <v>10326.928134600001</v>
      </c>
      <c r="BQ76" s="1005">
        <f t="shared" si="211"/>
        <v>10529.294201076002</v>
      </c>
      <c r="BR76" s="1005">
        <f t="shared" si="211"/>
        <v>10845.173027108282</v>
      </c>
      <c r="BS76" s="305"/>
    </row>
    <row r="77" spans="1:71" s="300" customFormat="1" ht="15">
      <c r="A77" s="591" t="s">
        <v>865</v>
      </c>
      <c r="B77" s="166"/>
      <c r="C77" s="989"/>
      <c r="D77" s="989"/>
      <c r="E77" s="989"/>
      <c r="F77" s="989"/>
      <c r="G77" s="989"/>
      <c r="H77" s="92"/>
      <c r="I77" s="92"/>
      <c r="J77" s="92"/>
      <c r="K77" s="92"/>
      <c r="L77" s="989"/>
      <c r="M77" s="92"/>
      <c r="N77" s="92"/>
      <c r="O77" s="92"/>
      <c r="P77" s="92"/>
      <c r="Q77" s="989">
        <f t="shared" si="212" ref="Q77:AS77">+Q59*Q145</f>
        <v>-28.544</v>
      </c>
      <c r="R77" s="92">
        <f t="shared" si="212"/>
        <v>-7.24</v>
      </c>
      <c r="S77" s="394">
        <f t="shared" si="212"/>
        <v>18.150000000000002</v>
      </c>
      <c r="T77" s="92">
        <f t="shared" si="212"/>
        <v>-3.6259999999999999</v>
      </c>
      <c r="U77" s="92">
        <f t="shared" si="213" ref="U77:U78">V77-SUM(R77,S77,T77)</f>
        <v>-29.055000000000003</v>
      </c>
      <c r="V77" s="989">
        <f t="shared" si="212"/>
        <v>-21.771000000000001</v>
      </c>
      <c r="W77" s="92">
        <f t="shared" si="212"/>
        <v>-23.595</v>
      </c>
      <c r="X77" s="394">
        <f t="shared" si="212"/>
        <v>-19.965</v>
      </c>
      <c r="Y77" s="92">
        <f t="shared" si="212"/>
        <v>-42.136000000000003</v>
      </c>
      <c r="Z77" s="92">
        <f t="shared" si="214" ref="Z77:Z78">AA77-SUM(W77,X77,Y77)</f>
        <v>-45.883999999999986</v>
      </c>
      <c r="AA77" s="989">
        <f t="shared" si="212"/>
        <v>-131.57999999999998</v>
      </c>
      <c r="AB77" s="92">
        <f t="shared" si="212"/>
        <v>31.416000000000004</v>
      </c>
      <c r="AC77" s="394">
        <f t="shared" si="212"/>
        <v>26.096</v>
      </c>
      <c r="AD77" s="92">
        <f t="shared" si="212"/>
        <v>-13.237</v>
      </c>
      <c r="AE77" s="92">
        <f t="shared" si="215" ref="AE77:AE78">AF77-SUM(AB77,AC77,AD77)</f>
        <v>-29.241</v>
      </c>
      <c r="AF77" s="989">
        <f t="shared" si="212"/>
        <v>15.034000000000001</v>
      </c>
      <c r="AG77" s="92">
        <f t="shared" si="212"/>
        <v>54.18</v>
      </c>
      <c r="AH77" s="394">
        <f t="shared" si="212"/>
        <v>3.9159999999999999</v>
      </c>
      <c r="AI77" s="92">
        <f t="shared" si="212"/>
        <v>1.9970000000000001</v>
      </c>
      <c r="AJ77" s="92">
        <f t="shared" si="216" ref="AJ77:AJ78">AK77-SUM(AG77,AH77,AI77)</f>
        <v>3.203000000000003</v>
      </c>
      <c r="AK77" s="989">
        <f t="shared" si="212"/>
        <v>63.295999999999999</v>
      </c>
      <c r="AL77" s="92">
        <f t="shared" si="212"/>
        <v>-6.1109999999999998</v>
      </c>
      <c r="AM77" s="394">
        <f t="shared" si="212"/>
        <v>22.593999999999998</v>
      </c>
      <c r="AN77" s="92">
        <f t="shared" si="212"/>
        <v>-456.06</v>
      </c>
      <c r="AO77" s="92">
        <f t="shared" si="217" ref="AO77:AO78">AP77-SUM(AL77,AM77,AN77)</f>
        <v>2.1150000000000091</v>
      </c>
      <c r="AP77" s="989">
        <f t="shared" si="212"/>
        <v>-437.46199999999999</v>
      </c>
      <c r="AQ77" s="92">
        <f t="shared" si="212"/>
        <v>-203.32000000000002</v>
      </c>
      <c r="AR77" s="394">
        <f t="shared" si="212"/>
        <v>28.932000000000002</v>
      </c>
      <c r="AS77" s="92">
        <f t="shared" si="212"/>
        <v>17.654</v>
      </c>
      <c r="AT77" s="92">
        <f t="shared" si="218" ref="AT77:AT78">AU77-SUM(AQ77,AR77,AS77)</f>
        <v>7.8290000000000362</v>
      </c>
      <c r="AU77" s="989">
        <f>+AU59*AU145</f>
        <v>-148.905</v>
      </c>
      <c r="AV77" s="92">
        <f>+AV59*AV145</f>
        <v>-7.47</v>
      </c>
      <c r="AW77" s="394">
        <f>+AW59*AW145</f>
        <v>133.43199999999999</v>
      </c>
      <c r="AX77" s="92">
        <f>+AX59*AX145</f>
        <v>52.84</v>
      </c>
      <c r="AY77" s="92">
        <f>AZ77-SUM(AV77,AW77,AX77)</f>
        <v>19.140000000000015</v>
      </c>
      <c r="AZ77" s="989">
        <f>+AZ59*AZ145</f>
        <v>197.94200000000001</v>
      </c>
      <c r="BA77" s="92">
        <f>+BA59*BA145</f>
        <v>-19.670000000000002</v>
      </c>
      <c r="BB77" s="394">
        <f>+BB59*BB145</f>
        <v>92.256</v>
      </c>
      <c r="BC77" s="92">
        <f>+BC59*BC145</f>
        <v>62.349000000000004</v>
      </c>
      <c r="BD77" s="92">
        <f>BE77-SUM(BA77,BB77,BC77)</f>
        <v>-41.022999999999996</v>
      </c>
      <c r="BE77" s="989">
        <f>+BE59*BE145</f>
        <v>93.912000000000006</v>
      </c>
      <c r="BF77" s="92">
        <f>+BF59*BF145</f>
        <v>-189.23999999999998</v>
      </c>
      <c r="BG77" s="394">
        <f>+BG59*BG145</f>
        <v>-188.79000000000002</v>
      </c>
      <c r="BH77" s="464">
        <f>+BH59*BH145</f>
        <v>-13.612</v>
      </c>
      <c r="BI77" s="92">
        <f>+BI59*BI145</f>
        <v>-146.35319999999999</v>
      </c>
      <c r="BJ77" s="1004">
        <f>SUM(BF77,BG77,BH77,BI77)</f>
        <v>-537.99519999999995</v>
      </c>
      <c r="BK77" s="92">
        <f>+BK59*BK145</f>
        <v>-147.8673</v>
      </c>
      <c r="BL77" s="92">
        <f>+BL59*BL145</f>
        <v>-197.82525000000001</v>
      </c>
      <c r="BM77" s="92">
        <f>+BM59*BM145</f>
        <v>-209.55585000000002</v>
      </c>
      <c r="BN77" s="92">
        <f>+BN59*BN145</f>
        <v>-153.67086</v>
      </c>
      <c r="BO77" s="1004">
        <f>SUM(BK77,BL77,BM77,BN77)</f>
        <v>-708.91925999999989</v>
      </c>
      <c r="BP77" s="1004">
        <f>+BP59*BP145</f>
        <v>-737.63772390000008</v>
      </c>
      <c r="BQ77" s="1004">
        <f>+BQ59*BQ145</f>
        <v>-752.09244293400013</v>
      </c>
      <c r="BR77" s="1004">
        <f>+BR59*BR145</f>
        <v>-774.65521622202016</v>
      </c>
      <c r="BS77" s="305"/>
    </row>
    <row r="78" spans="1:71" s="300" customFormat="1" ht="15">
      <c r="A78" s="591" t="s">
        <v>866</v>
      </c>
      <c r="B78" s="166"/>
      <c r="C78" s="989"/>
      <c r="D78" s="989"/>
      <c r="E78" s="989"/>
      <c r="F78" s="989"/>
      <c r="G78" s="989"/>
      <c r="H78" s="92"/>
      <c r="I78" s="92"/>
      <c r="J78" s="92"/>
      <c r="K78" s="92"/>
      <c r="L78" s="989"/>
      <c r="M78" s="92"/>
      <c r="N78" s="92"/>
      <c r="O78" s="92"/>
      <c r="P78" s="92"/>
      <c r="Q78" s="989">
        <f t="shared" si="219" ref="Q78:AS78">+Q59*Q146</f>
        <v>0</v>
      </c>
      <c r="R78" s="92">
        <f t="shared" si="219"/>
        <v>-3.62</v>
      </c>
      <c r="S78" s="394">
        <f t="shared" si="219"/>
        <v>14.52</v>
      </c>
      <c r="T78" s="92">
        <f t="shared" si="219"/>
        <v>5.4390000000000001</v>
      </c>
      <c r="U78" s="92">
        <f t="shared" si="213"/>
        <v>-1.8249999999999975</v>
      </c>
      <c r="V78" s="989">
        <f t="shared" si="219"/>
        <v>14.514000000000001</v>
      </c>
      <c r="W78" s="92">
        <f t="shared" si="219"/>
        <v>3.63</v>
      </c>
      <c r="X78" s="394">
        <f t="shared" si="219"/>
        <v>-3.63</v>
      </c>
      <c r="Y78" s="92">
        <f t="shared" si="219"/>
        <v>-1.8320000000000001</v>
      </c>
      <c r="Z78" s="92">
        <f t="shared" si="214"/>
        <v>-5.4780000000000006</v>
      </c>
      <c r="AA78" s="989">
        <f t="shared" si="219"/>
        <v>-7.31</v>
      </c>
      <c r="AB78" s="92">
        <f t="shared" si="219"/>
        <v>35.112000000000002</v>
      </c>
      <c r="AC78" s="394">
        <f t="shared" si="219"/>
        <v>42.872</v>
      </c>
      <c r="AD78" s="92">
        <f t="shared" si="219"/>
        <v>5.673</v>
      </c>
      <c r="AE78" s="92">
        <f t="shared" si="215"/>
        <v>-23.521000000000008</v>
      </c>
      <c r="AF78" s="989">
        <f t="shared" si="219"/>
        <v>60.136000000000003</v>
      </c>
      <c r="AG78" s="92">
        <f t="shared" si="219"/>
        <v>46.44</v>
      </c>
      <c r="AH78" s="394">
        <f t="shared" si="219"/>
        <v>11.748000000000001</v>
      </c>
      <c r="AI78" s="92">
        <f t="shared" si="219"/>
        <v>1.9970000000000001</v>
      </c>
      <c r="AJ78" s="92">
        <f t="shared" si="216"/>
        <v>3.1109999999999971</v>
      </c>
      <c r="AK78" s="989">
        <f t="shared" si="219"/>
        <v>63.295999999999999</v>
      </c>
      <c r="AL78" s="92">
        <f t="shared" si="219"/>
        <v>-8.1479999999999997</v>
      </c>
      <c r="AM78" s="394">
        <f t="shared" si="219"/>
        <v>26.701999999999998</v>
      </c>
      <c r="AN78" s="92">
        <f t="shared" si="219"/>
        <v>-441.54899999999998</v>
      </c>
      <c r="AO78" s="92">
        <f t="shared" si="217"/>
        <v>2.0410000000000537</v>
      </c>
      <c r="AP78" s="989">
        <f t="shared" si="219"/>
        <v>-420.95399999999995</v>
      </c>
      <c r="AQ78" s="92">
        <f t="shared" si="219"/>
        <v>-208.10399999999998</v>
      </c>
      <c r="AR78" s="394">
        <f t="shared" si="219"/>
        <v>36.165</v>
      </c>
      <c r="AS78" s="92">
        <f t="shared" si="219"/>
        <v>2.5220000000000002</v>
      </c>
      <c r="AT78" s="92">
        <f t="shared" si="218"/>
        <v>0.65799999999998704</v>
      </c>
      <c r="AU78" s="989">
        <f>+AU59*AU146</f>
        <v>-168.75900000000001</v>
      </c>
      <c r="AV78" s="92">
        <f>+AV59*AV146</f>
        <v>-9.9600000000000009</v>
      </c>
      <c r="AW78" s="394">
        <f>+AW59*AW146</f>
        <v>84.677999999999997</v>
      </c>
      <c r="AX78" s="92">
        <f>+AX59*AX146</f>
        <v>2.6419999999999999</v>
      </c>
      <c r="AY78" s="92">
        <f t="shared" si="220" ref="AY78">AZ78-SUM(AV78,AW78,AX78)</f>
        <v>-4.4339999999999833</v>
      </c>
      <c r="AZ78" s="989">
        <f>+AZ59*AZ146</f>
        <v>72.926000000000002</v>
      </c>
      <c r="BA78" s="92">
        <f>+BA59*BA146</f>
        <v>-5.62</v>
      </c>
      <c r="BB78" s="394">
        <f>+BB59*BB146</f>
        <v>51.893999999999998</v>
      </c>
      <c r="BC78" s="92">
        <f>+BC59*BC146</f>
        <v>17.814</v>
      </c>
      <c r="BD78" s="92">
        <f>BE78-SUM(BA78,BB78,BC78)</f>
        <v>-28.870999999999995</v>
      </c>
      <c r="BE78" s="989">
        <f>+BE59*BE146</f>
        <v>35.216999999999999</v>
      </c>
      <c r="BF78" s="92">
        <f>+BF59*BF146</f>
        <v>-148.238</v>
      </c>
      <c r="BG78" s="394">
        <f>+BG59*BG146</f>
        <v>-126.94499999999999</v>
      </c>
      <c r="BH78" s="464">
        <f>+BH59*BH146</f>
        <v>0</v>
      </c>
      <c r="BI78" s="92">
        <f>+BI59*BI146</f>
        <v>29.27064</v>
      </c>
      <c r="BJ78" s="1004">
        <f>SUM(BF78,BG78,BH78,BI78)</f>
        <v>-245.91235999999998</v>
      </c>
      <c r="BK78" s="92">
        <f>+BK59*BK146</f>
        <v>29.573460000000001</v>
      </c>
      <c r="BL78" s="92">
        <f>+BL59*BL146</f>
        <v>39.565049999999999</v>
      </c>
      <c r="BM78" s="92">
        <f>+BM59*BM146</f>
        <v>41.911170000000006</v>
      </c>
      <c r="BN78" s="92">
        <f>+BN59*BN146</f>
        <v>30.734172000000001</v>
      </c>
      <c r="BO78" s="1004">
        <f>SUM(BK78,BL78,BM78,BN78)</f>
        <v>141.783852</v>
      </c>
      <c r="BP78" s="1004">
        <f>+BP59*BP146</f>
        <v>147.52754478</v>
      </c>
      <c r="BQ78" s="1004">
        <f>+BQ59*BQ146</f>
        <v>150.41848858680001</v>
      </c>
      <c r="BR78" s="1004">
        <f>+BR59*BR146</f>
        <v>154.93104324440404</v>
      </c>
      <c r="BS78" s="305"/>
    </row>
    <row r="79" spans="1:71" s="300" customFormat="1" ht="15">
      <c r="A79" s="588" t="s">
        <v>773</v>
      </c>
      <c r="B79" s="510"/>
      <c r="C79" s="994"/>
      <c r="D79" s="994"/>
      <c r="E79" s="994"/>
      <c r="F79" s="994"/>
      <c r="G79" s="994"/>
      <c r="H79" s="239"/>
      <c r="I79" s="239"/>
      <c r="J79" s="239"/>
      <c r="K79" s="239"/>
      <c r="L79" s="994"/>
      <c r="M79" s="239"/>
      <c r="N79" s="239"/>
      <c r="O79" s="239"/>
      <c r="P79" s="239"/>
      <c r="Q79" s="994">
        <f>Q59*Q147</f>
        <v>4017.5679999999998</v>
      </c>
      <c r="R79" s="239">
        <f>R59*R147</f>
        <v>1279.6699999999998</v>
      </c>
      <c r="S79" s="589">
        <f>S59*S147</f>
        <v>1355.805</v>
      </c>
      <c r="T79" s="239">
        <f>T59*T147</f>
        <v>977.20700000000011</v>
      </c>
      <c r="U79" s="239">
        <f>SUM(U76,U77,U78)</f>
        <v>835.85899999999981</v>
      </c>
      <c r="V79" s="994">
        <f>V59*V147</f>
        <v>4448.5410000000002</v>
      </c>
      <c r="W79" s="239">
        <f>W59*W147</f>
        <v>1314.06</v>
      </c>
      <c r="X79" s="589">
        <f>X59*X147</f>
        <v>1377.585</v>
      </c>
      <c r="Y79" s="239">
        <f>Y59*Y147</f>
        <v>1055.232</v>
      </c>
      <c r="Z79" s="239">
        <f>SUM(Z76,Z77,Z78)</f>
        <v>1165.443</v>
      </c>
      <c r="AA79" s="994">
        <f>AA59*AA147</f>
        <v>4912.3200000000006</v>
      </c>
      <c r="AB79" s="239">
        <f>AB59*AB147</f>
        <v>1069.992</v>
      </c>
      <c r="AC79" s="589">
        <f>AC59*AC147</f>
        <v>1411.048</v>
      </c>
      <c r="AD79" s="239">
        <f>AD59*AD147</f>
        <v>1214.0219999999999</v>
      </c>
      <c r="AE79" s="239">
        <f>SUM(AE76,AE77,AE78)</f>
        <v>1521.7359999999999</v>
      </c>
      <c r="AF79" s="994">
        <f>AF59*AF147</f>
        <v>5216.7979999999998</v>
      </c>
      <c r="AG79" s="239">
        <f>AG59*AG147</f>
        <v>1340.955</v>
      </c>
      <c r="AH79" s="589">
        <f>AH59*AH147</f>
        <v>1605.56</v>
      </c>
      <c r="AI79" s="239">
        <f>AI59*AI147</f>
        <v>1184.221</v>
      </c>
      <c r="AJ79" s="239">
        <f>SUM(AJ76,AJ77,AJ78)</f>
        <v>1019.9760000000002</v>
      </c>
      <c r="AK79" s="994">
        <f>AK59*AK147</f>
        <v>5150.7120000000004</v>
      </c>
      <c r="AL79" s="239">
        <f>AL59*AL147</f>
        <v>996.09299999999996</v>
      </c>
      <c r="AM79" s="589">
        <f>AM59*AM147</f>
        <v>1741.7919999999999</v>
      </c>
      <c r="AN79" s="239">
        <f>AN59*AN147</f>
        <v>1666.692</v>
      </c>
      <c r="AO79" s="239">
        <f>SUM(AO76,AO77,AO78)</f>
        <v>1150.3650000000007</v>
      </c>
      <c r="AP79" s="994">
        <f>AP59*AP147</f>
        <v>5554.942</v>
      </c>
      <c r="AQ79" s="239">
        <f>AQ59*AQ147</f>
        <v>1552.4080000000001</v>
      </c>
      <c r="AR79" s="589">
        <f>AR59*AR147</f>
        <v>1839.5930000000001</v>
      </c>
      <c r="AS79" s="239">
        <f>AS59*AS147</f>
        <v>2166.3980000000001</v>
      </c>
      <c r="AT79" s="239">
        <f>SUM(AT76,AT77,AT78)</f>
        <v>1608.8950000000002</v>
      </c>
      <c r="AU79" s="994">
        <f>AU59*AU147</f>
        <v>7167.2939999999999</v>
      </c>
      <c r="AV79" s="239">
        <f>AV59*AV147</f>
        <v>1538.82</v>
      </c>
      <c r="AW79" s="589">
        <f>AW59*AW147</f>
        <v>2168.27</v>
      </c>
      <c r="AX79" s="239">
        <f>AX59*AX147</f>
        <v>1780.7080000000001</v>
      </c>
      <c r="AY79" s="239">
        <f>SUM(AY76,AY77,AY78)</f>
        <v>1919.3999999999996</v>
      </c>
      <c r="AZ79" s="994">
        <f>AZ59*AZ147</f>
        <v>7407.1979999999994</v>
      </c>
      <c r="BA79" s="239">
        <f>BA59*BA147</f>
        <v>2767.85</v>
      </c>
      <c r="BB79" s="589">
        <f>BB59*BB147</f>
        <v>3603.75</v>
      </c>
      <c r="BC79" s="239">
        <f>BC59*BC147</f>
        <v>2446.4559999999997</v>
      </c>
      <c r="BD79" s="239">
        <f>SUM(BD76,BD77,BD78)</f>
        <v>1207.0500000000004</v>
      </c>
      <c r="BE79" s="994">
        <f>BE59*BE147</f>
        <v>10025.106</v>
      </c>
      <c r="BF79" s="239">
        <f>BF59*BF147</f>
        <v>1901.8619999999999</v>
      </c>
      <c r="BG79" s="589">
        <f>BG59*BG147</f>
        <v>2939.2649999999999</v>
      </c>
      <c r="BH79" s="642">
        <f>BH59*BH147</f>
        <v>2596.489</v>
      </c>
      <c r="BI79" s="239">
        <f t="shared" si="221" ref="BI79:BR79">SUM(BI76,BI77,BI78)</f>
        <v>1931.8622399999997</v>
      </c>
      <c r="BJ79" s="1005">
        <f t="shared" si="221"/>
        <v>9369.4782400000004</v>
      </c>
      <c r="BK79" s="239">
        <f t="shared" si="221"/>
        <v>1951.8483600000004</v>
      </c>
      <c r="BL79" s="239">
        <f t="shared" si="221"/>
        <v>2611.2933000000003</v>
      </c>
      <c r="BM79" s="239">
        <f t="shared" si="221"/>
        <v>2766.1372199999996</v>
      </c>
      <c r="BN79" s="239">
        <f t="shared" si="221"/>
        <v>2028.4553519999997</v>
      </c>
      <c r="BO79" s="1005">
        <f t="shared" si="221"/>
        <v>9357.7342320000007</v>
      </c>
      <c r="BP79" s="1005">
        <f t="shared" si="221"/>
        <v>9736.8179554800008</v>
      </c>
      <c r="BQ79" s="1005">
        <f t="shared" si="221"/>
        <v>9927.6202467288022</v>
      </c>
      <c r="BR79" s="1005">
        <f t="shared" si="221"/>
        <v>10225.448854130665</v>
      </c>
      <c r="BS79" s="305"/>
    </row>
    <row r="80" spans="1:71" s="300" customFormat="1" ht="15">
      <c r="A80" s="592" t="s">
        <v>867</v>
      </c>
      <c r="B80" s="166"/>
      <c r="C80" s="989"/>
      <c r="D80" s="989"/>
      <c r="E80" s="989"/>
      <c r="F80" s="989"/>
      <c r="G80" s="989"/>
      <c r="H80" s="92"/>
      <c r="I80" s="92"/>
      <c r="J80" s="92"/>
      <c r="K80" s="92"/>
      <c r="L80" s="989"/>
      <c r="M80" s="92"/>
      <c r="N80" s="92"/>
      <c r="O80" s="92"/>
      <c r="P80" s="92"/>
      <c r="Q80" s="989">
        <f t="shared" si="222" ref="Q80:AS80">+Q60*Q148</f>
        <v>913.68</v>
      </c>
      <c r="R80" s="92">
        <f t="shared" si="222"/>
        <v>225.23499999999996</v>
      </c>
      <c r="S80" s="394">
        <f t="shared" si="222"/>
        <v>220.05600000000001</v>
      </c>
      <c r="T80" s="92">
        <f t="shared" si="222"/>
        <v>233.44800000000001</v>
      </c>
      <c r="U80" s="92">
        <f>V80-SUM(R80,S80,T80)</f>
        <v>208.66100000000006</v>
      </c>
      <c r="V80" s="989">
        <f t="shared" si="222"/>
        <v>887.40</v>
      </c>
      <c r="W80" s="92">
        <f t="shared" si="222"/>
        <v>210.328</v>
      </c>
      <c r="X80" s="394">
        <f t="shared" si="222"/>
        <v>218.87200000000001</v>
      </c>
      <c r="Y80" s="92">
        <f t="shared" si="222"/>
        <v>262.08299999999997</v>
      </c>
      <c r="Z80" s="92">
        <f>AA80-SUM(W80,X80,Y80)</f>
        <v>215.21699999999998</v>
      </c>
      <c r="AA80" s="989">
        <f t="shared" si="222"/>
        <v>906.50</v>
      </c>
      <c r="AB80" s="92">
        <f t="shared" si="222"/>
        <v>253.52399999999997</v>
      </c>
      <c r="AC80" s="394">
        <f t="shared" si="222"/>
        <v>233.87</v>
      </c>
      <c r="AD80" s="92">
        <f t="shared" si="222"/>
        <v>259.34999999999997</v>
      </c>
      <c r="AE80" s="92">
        <f>AF80-SUM(AB80,AC80,AD80)</f>
        <v>235.00000000000011</v>
      </c>
      <c r="AF80" s="989">
        <f t="shared" si="222"/>
        <v>981.74400000000003</v>
      </c>
      <c r="AG80" s="92">
        <f t="shared" si="222"/>
        <v>222.61499999999998</v>
      </c>
      <c r="AH80" s="394">
        <f t="shared" si="222"/>
        <v>239.77800000000002</v>
      </c>
      <c r="AI80" s="92">
        <f t="shared" si="222"/>
        <v>262.17099999999999</v>
      </c>
      <c r="AJ80" s="92">
        <f>AK80-SUM(AG80,AH80,AI80)</f>
        <v>235.71199999999999</v>
      </c>
      <c r="AK80" s="989">
        <f t="shared" si="222"/>
        <v>960.27600000000007</v>
      </c>
      <c r="AL80" s="92">
        <f t="shared" si="222"/>
        <v>253.39800000000002</v>
      </c>
      <c r="AM80" s="394">
        <f t="shared" si="222"/>
        <v>221.31400000000002</v>
      </c>
      <c r="AN80" s="92">
        <f t="shared" si="222"/>
        <v>337.77</v>
      </c>
      <c r="AO80" s="92">
        <f>AP80-SUM(AL80,AM80,AN80)</f>
        <v>219.94000000000005</v>
      </c>
      <c r="AP80" s="989">
        <f t="shared" si="222"/>
        <v>1032.422</v>
      </c>
      <c r="AQ80" s="92">
        <f t="shared" si="222"/>
        <v>322.19000000000005</v>
      </c>
      <c r="AR80" s="394">
        <f t="shared" si="222"/>
        <v>286.488</v>
      </c>
      <c r="AS80" s="92">
        <f t="shared" si="222"/>
        <v>302.18000000000006</v>
      </c>
      <c r="AT80" s="92">
        <f>AU80-SUM(AQ80,AR80,AS80)</f>
        <v>283.41699999999992</v>
      </c>
      <c r="AU80" s="989">
        <f>+AU60*AU148</f>
        <v>1194.2750000000001</v>
      </c>
      <c r="AV80" s="92">
        <f>+AV60*AV148</f>
        <v>351.52199999999993</v>
      </c>
      <c r="AW80" s="394">
        <f>+AW60*AW148</f>
        <v>336.81</v>
      </c>
      <c r="AX80" s="92">
        <f>+AX60*AX148</f>
        <v>388.26</v>
      </c>
      <c r="AY80" s="92">
        <f>AZ80-SUM(AV80,AW80,AX80)</f>
        <v>408.80000000000018</v>
      </c>
      <c r="AZ80" s="989">
        <f>+AZ60*AZ148</f>
        <v>1485.3920000000001</v>
      </c>
      <c r="BA80" s="92">
        <f>+BA60*BA148</f>
        <v>397.89599999999996</v>
      </c>
      <c r="BB80" s="394">
        <f>+BB60*BB148</f>
        <v>409.13900000000001</v>
      </c>
      <c r="BC80" s="92">
        <f>+BC60*BC148</f>
        <v>443.84</v>
      </c>
      <c r="BD80" s="92">
        <f>BE80-SUM(BA80,BB80,BC80)</f>
        <v>357.96299999999974</v>
      </c>
      <c r="BE80" s="989">
        <f>+BE60*BE148</f>
        <v>1608.8379999999997</v>
      </c>
      <c r="BF80" s="92">
        <f>+BF60*BF148</f>
        <v>453.39200000000005</v>
      </c>
      <c r="BG80" s="394">
        <f>+BG60*BG148</f>
        <v>461.2580000000001</v>
      </c>
      <c r="BH80" s="464">
        <f>+BH60*BH148</f>
        <v>471.726</v>
      </c>
      <c r="BI80" s="92">
        <f>+BI60*BI148</f>
        <v>346.33199999999999</v>
      </c>
      <c r="BJ80" s="1004">
        <f>SUM(BF80,BG80,BH80,BI80)</f>
        <v>1732.7080000000001</v>
      </c>
      <c r="BK80" s="92">
        <f>+BK60*BK148</f>
        <v>407.48399999999998</v>
      </c>
      <c r="BL80" s="92">
        <f>+BL60*BL148</f>
        <v>521.70299999999997</v>
      </c>
      <c r="BM80" s="92">
        <f>+BM60*BM148</f>
        <v>504.41579999999999</v>
      </c>
      <c r="BN80" s="92">
        <f>+BN60*BN148</f>
        <v>363.64859999999999</v>
      </c>
      <c r="BO80" s="1004">
        <f>SUM(BK80,BL80,BM80,BN80)</f>
        <v>1797.2513999999999</v>
      </c>
      <c r="BP80" s="1004">
        <f>+BP60*BP148</f>
        <v>1870.058421</v>
      </c>
      <c r="BQ80" s="1004">
        <f>+BQ60*BQ148</f>
        <v>1906.7040102600001</v>
      </c>
      <c r="BR80" s="1004">
        <f>+BR60*BR148</f>
        <v>1963.9051305678001</v>
      </c>
      <c r="BS80" s="305"/>
    </row>
    <row r="81" spans="1:71" s="300" customFormat="1" ht="15">
      <c r="A81" s="592" t="s">
        <v>868</v>
      </c>
      <c r="B81" s="166"/>
      <c r="C81" s="989"/>
      <c r="D81" s="989"/>
      <c r="E81" s="989"/>
      <c r="F81" s="989"/>
      <c r="G81" s="989"/>
      <c r="H81" s="92"/>
      <c r="I81" s="92"/>
      <c r="J81" s="92"/>
      <c r="K81" s="92"/>
      <c r="L81" s="989"/>
      <c r="M81" s="92"/>
      <c r="N81" s="92"/>
      <c r="O81" s="92"/>
      <c r="P81" s="92"/>
      <c r="Q81" s="989">
        <f t="shared" si="223" ref="Q81:AS81">+Q60*Q149</f>
        <v>133.66800000000001</v>
      </c>
      <c r="R81" s="92">
        <f t="shared" si="223"/>
        <v>63.991999999999997</v>
      </c>
      <c r="S81" s="394">
        <f t="shared" si="223"/>
        <v>64.024000000000001</v>
      </c>
      <c r="T81" s="92">
        <f t="shared" si="223"/>
        <v>25.134</v>
      </c>
      <c r="U81" s="92">
        <f>V81-SUM(R81,S81,T81)</f>
        <v>38.950000000000017</v>
      </c>
      <c r="V81" s="989">
        <f t="shared" si="223"/>
        <v>192.10</v>
      </c>
      <c r="W81" s="92">
        <f t="shared" si="223"/>
        <v>60.770999999999994</v>
      </c>
      <c r="X81" s="394">
        <f t="shared" si="223"/>
        <v>60.168000000000006</v>
      </c>
      <c r="Y81" s="92">
        <f t="shared" si="223"/>
        <v>64.971999999999994</v>
      </c>
      <c r="Z81" s="92">
        <f>AA81-SUM(W81,X81,Y81)</f>
        <v>22.338999999999999</v>
      </c>
      <c r="AA81" s="989">
        <f t="shared" si="223"/>
        <v>208.25</v>
      </c>
      <c r="AB81" s="92">
        <f t="shared" si="223"/>
        <v>28.86</v>
      </c>
      <c r="AC81" s="394">
        <f t="shared" si="223"/>
        <v>47.775</v>
      </c>
      <c r="AD81" s="92">
        <f t="shared" si="223"/>
        <v>51.870000000000005</v>
      </c>
      <c r="AE81" s="92">
        <f>AF81-SUM(AB81,AC81,AD81)</f>
        <v>90.263000000000005</v>
      </c>
      <c r="AF81" s="989">
        <f t="shared" si="223"/>
        <v>218.768</v>
      </c>
      <c r="AG81" s="92">
        <f t="shared" si="223"/>
        <v>66.095999999999989</v>
      </c>
      <c r="AH81" s="394">
        <f t="shared" si="223"/>
        <v>58.212000000000003</v>
      </c>
      <c r="AI81" s="92">
        <f t="shared" si="223"/>
        <v>24.856999999999999</v>
      </c>
      <c r="AJ81" s="92">
        <f>AK81-SUM(AG81,AH81,AI81)</f>
        <v>18.324999999999989</v>
      </c>
      <c r="AK81" s="989">
        <f t="shared" si="223"/>
        <v>167.48999999999998</v>
      </c>
      <c r="AL81" s="92">
        <f t="shared" si="223"/>
        <v>13.188000000000001</v>
      </c>
      <c r="AM81" s="394">
        <f t="shared" si="223"/>
        <v>88.908000000000001</v>
      </c>
      <c r="AN81" s="92">
        <f t="shared" si="223"/>
        <v>65.124000000000009</v>
      </c>
      <c r="AO81" s="92">
        <f>AP81-SUM(AL81,AM81,AN81)</f>
        <v>32.355999999999966</v>
      </c>
      <c r="AP81" s="989">
        <f t="shared" si="223"/>
        <v>199.57599999999999</v>
      </c>
      <c r="AQ81" s="92">
        <f t="shared" si="223"/>
        <v>58.075</v>
      </c>
      <c r="AR81" s="394">
        <f t="shared" si="223"/>
        <v>61.760999999999996</v>
      </c>
      <c r="AS81" s="92">
        <f t="shared" si="223"/>
        <v>102.116</v>
      </c>
      <c r="AT81" s="92">
        <f>AU81-SUM(AQ81,AR81,AS81)</f>
        <v>6.5180000000000007</v>
      </c>
      <c r="AU81" s="989">
        <f>+AU60*AU149</f>
        <v>228.47</v>
      </c>
      <c r="AV81" s="92">
        <f>+AV60*AV149</f>
        <v>33.984000000000002</v>
      </c>
      <c r="AW81" s="394">
        <f>+AW60*AW149</f>
        <v>70.850000000000009</v>
      </c>
      <c r="AX81" s="92">
        <f>+AX60*AX149</f>
        <v>30.78</v>
      </c>
      <c r="AY81" s="92">
        <f>AZ81-SUM(AV81,AW81,AX81)</f>
        <v>129.94300000000001</v>
      </c>
      <c r="AZ81" s="989">
        <f>+AZ60*AZ149</f>
        <v>265.55700000000002</v>
      </c>
      <c r="BA81" s="92">
        <f>+BA60*BA149</f>
        <v>133.756</v>
      </c>
      <c r="BB81" s="394">
        <f>+BB60*BB149</f>
        <v>142.054</v>
      </c>
      <c r="BC81" s="92">
        <f>+BC60*BC149</f>
        <v>58.975999999999999</v>
      </c>
      <c r="BD81" s="92">
        <f>BE81-SUM(BA81,BB81,BC81)</f>
        <v>13.715999999999951</v>
      </c>
      <c r="BE81" s="989">
        <f>+BE60*BE149</f>
        <v>348.50199999999995</v>
      </c>
      <c r="BF81" s="92">
        <f>+BF60*BF149</f>
        <v>61.286999999999999</v>
      </c>
      <c r="BG81" s="394">
        <f>+BG60*BG149</f>
        <v>121.273</v>
      </c>
      <c r="BH81" s="464">
        <f>+BH60*BH149</f>
        <v>170.88399999999999</v>
      </c>
      <c r="BI81" s="92">
        <f>+BI60*BI149</f>
        <v>57.722000000000008</v>
      </c>
      <c r="BJ81" s="1004">
        <f>SUM(BF81,BG81,BH81,BI81)</f>
        <v>411.16599999999994</v>
      </c>
      <c r="BK81" s="92">
        <f>+BK60*BK149</f>
        <v>67.914000000000001</v>
      </c>
      <c r="BL81" s="92">
        <f>+BL60*BL149</f>
        <v>86.950500000000005</v>
      </c>
      <c r="BM81" s="92">
        <f>+BM60*BM149</f>
        <v>84.069299999999998</v>
      </c>
      <c r="BN81" s="92">
        <f>+BN60*BN149</f>
        <v>60.608100000000007</v>
      </c>
      <c r="BO81" s="1004">
        <f>SUM(BK81,BL81,BM81,BN81)</f>
        <v>299.54190000000006</v>
      </c>
      <c r="BP81" s="1004">
        <f>+BP60*BP149</f>
        <v>311.67640350000005</v>
      </c>
      <c r="BQ81" s="1004">
        <f>+BQ60*BQ149</f>
        <v>317.7840017100001</v>
      </c>
      <c r="BR81" s="1004">
        <f>+BR60*BR149</f>
        <v>327.3175217613001</v>
      </c>
      <c r="BS81" s="305"/>
    </row>
    <row r="82" spans="1:71" s="300" customFormat="1" ht="15">
      <c r="A82" s="593" t="s">
        <v>869</v>
      </c>
      <c r="B82" s="510"/>
      <c r="C82" s="994"/>
      <c r="D82" s="994"/>
      <c r="E82" s="994"/>
      <c r="F82" s="994"/>
      <c r="G82" s="994"/>
      <c r="H82" s="239"/>
      <c r="I82" s="239"/>
      <c r="J82" s="239"/>
      <c r="K82" s="239"/>
      <c r="L82" s="994"/>
      <c r="M82" s="239"/>
      <c r="N82" s="239"/>
      <c r="O82" s="239"/>
      <c r="P82" s="239"/>
      <c r="Q82" s="994">
        <f t="shared" si="224" ref="Q82:AS82">+Q60*Q150</f>
        <v>1047.348</v>
      </c>
      <c r="R82" s="239">
        <f t="shared" si="224"/>
        <v>289.22699999999998</v>
      </c>
      <c r="S82" s="589">
        <f t="shared" si="224"/>
        <v>284.08000000000004</v>
      </c>
      <c r="T82" s="239">
        <f t="shared" si="224"/>
        <v>258.58199999999999</v>
      </c>
      <c r="U82" s="239">
        <f>SUM(U80,U81)</f>
        <v>247.61100000000008</v>
      </c>
      <c r="V82" s="994">
        <f t="shared" si="224"/>
        <v>1079.50</v>
      </c>
      <c r="W82" s="239">
        <f t="shared" si="224"/>
        <v>271.09899999999999</v>
      </c>
      <c r="X82" s="589">
        <f t="shared" si="224"/>
        <v>279.04000000000002</v>
      </c>
      <c r="Y82" s="239">
        <f t="shared" si="224"/>
        <v>327.055</v>
      </c>
      <c r="Z82" s="239">
        <f>SUM(Z80,Z81)</f>
        <v>237.55599999999998</v>
      </c>
      <c r="AA82" s="994">
        <f t="shared" si="224"/>
        <v>1114.75</v>
      </c>
      <c r="AB82" s="239">
        <f t="shared" si="224"/>
        <v>282.38400000000001</v>
      </c>
      <c r="AC82" s="589">
        <f t="shared" si="224"/>
        <v>281.64499999999998</v>
      </c>
      <c r="AD82" s="239">
        <f t="shared" si="224"/>
        <v>311.21999999999997</v>
      </c>
      <c r="AE82" s="239">
        <f>SUM(AE80,AE81)</f>
        <v>325.26300000000015</v>
      </c>
      <c r="AF82" s="994">
        <f t="shared" si="224"/>
        <v>1200.5120000000002</v>
      </c>
      <c r="AG82" s="239">
        <f t="shared" si="224"/>
        <v>288.71100000000001</v>
      </c>
      <c r="AH82" s="589">
        <f t="shared" si="224"/>
        <v>297.99</v>
      </c>
      <c r="AI82" s="239">
        <f t="shared" si="224"/>
        <v>287.02800000000002</v>
      </c>
      <c r="AJ82" s="239">
        <f>SUM(AJ80,AJ81)</f>
        <v>254.03699999999998</v>
      </c>
      <c r="AK82" s="994">
        <f t="shared" si="224"/>
        <v>1127.7660000000001</v>
      </c>
      <c r="AL82" s="239">
        <f t="shared" si="224"/>
        <v>266.58600000000001</v>
      </c>
      <c r="AM82" s="589">
        <f t="shared" si="224"/>
        <v>310.22200000000004</v>
      </c>
      <c r="AN82" s="239">
        <f t="shared" si="224"/>
        <v>402.89400000000001</v>
      </c>
      <c r="AO82" s="239">
        <f>SUM(AO80,AO81)</f>
        <v>252.29600000000002</v>
      </c>
      <c r="AP82" s="994">
        <f t="shared" si="224"/>
        <v>1231.998</v>
      </c>
      <c r="AQ82" s="239">
        <f t="shared" si="224"/>
        <v>380.26500000000004</v>
      </c>
      <c r="AR82" s="589">
        <f t="shared" si="224"/>
        <v>348.24900000000002</v>
      </c>
      <c r="AS82" s="239">
        <f t="shared" si="224"/>
        <v>404.29599999999999</v>
      </c>
      <c r="AT82" s="239">
        <f>SUM(AT80,AT81)</f>
        <v>289.93499999999995</v>
      </c>
      <c r="AU82" s="994">
        <f>+AU60*AU150</f>
        <v>1422.745</v>
      </c>
      <c r="AV82" s="239">
        <f>+AV60*AV150</f>
        <v>385.50599999999997</v>
      </c>
      <c r="AW82" s="589">
        <f>+AW60*AW150</f>
        <v>407.66</v>
      </c>
      <c r="AX82" s="239">
        <f>+AX60*AX150</f>
        <v>419.04</v>
      </c>
      <c r="AY82" s="239">
        <f>SUM(AY80,AY81)</f>
        <v>538.74300000000017</v>
      </c>
      <c r="AZ82" s="994">
        <f>+AZ60*AZ150</f>
        <v>1750.9490000000001</v>
      </c>
      <c r="BA82" s="239">
        <f>+BA60*BA150</f>
        <v>531.65199999999993</v>
      </c>
      <c r="BB82" s="589">
        <f>+BB60*BB150</f>
        <v>551.19299999999998</v>
      </c>
      <c r="BC82" s="239">
        <f>+BC60*BC150</f>
        <v>502.81600000000003</v>
      </c>
      <c r="BD82" s="239">
        <f>SUM(BD80,BD81)</f>
        <v>371.67899999999969</v>
      </c>
      <c r="BE82" s="994">
        <f>+BE60*BE150</f>
        <v>1957.34</v>
      </c>
      <c r="BF82" s="239">
        <f>+BF60*BF150</f>
        <v>514.67899999999997</v>
      </c>
      <c r="BG82" s="589">
        <f>+BG60*BG150</f>
        <v>582.53100000000006</v>
      </c>
      <c r="BH82" s="642">
        <f>+BH60*BH150</f>
        <v>642.61</v>
      </c>
      <c r="BI82" s="239">
        <f t="shared" si="225" ref="BI82:BR82">SUM(BI80,BI81)</f>
        <v>404.05399999999997</v>
      </c>
      <c r="BJ82" s="1005">
        <f t="shared" si="225"/>
        <v>2143.8739999999998</v>
      </c>
      <c r="BK82" s="239">
        <f t="shared" si="225"/>
        <v>475.39799999999997</v>
      </c>
      <c r="BL82" s="239">
        <f t="shared" si="225"/>
        <v>608.65350000000001</v>
      </c>
      <c r="BM82" s="239">
        <f t="shared" si="225"/>
        <v>588.48509999999999</v>
      </c>
      <c r="BN82" s="239">
        <f t="shared" si="225"/>
        <v>424.25670000000002</v>
      </c>
      <c r="BO82" s="1005">
        <f t="shared" si="225"/>
        <v>2096.7932999999998</v>
      </c>
      <c r="BP82" s="1005">
        <f t="shared" si="225"/>
        <v>2181.7348244999998</v>
      </c>
      <c r="BQ82" s="1005">
        <f t="shared" si="225"/>
        <v>2224.4880119700001</v>
      </c>
      <c r="BR82" s="1005">
        <f t="shared" si="225"/>
        <v>2291.2226523291001</v>
      </c>
      <c r="BS82" s="305"/>
    </row>
    <row r="83" spans="1:71" s="300" customFormat="1" ht="15">
      <c r="A83" s="591" t="s">
        <v>870</v>
      </c>
      <c r="B83" s="166"/>
      <c r="C83" s="989"/>
      <c r="D83" s="989"/>
      <c r="E83" s="989"/>
      <c r="F83" s="989"/>
      <c r="G83" s="989"/>
      <c r="H83" s="92"/>
      <c r="I83" s="92"/>
      <c r="J83" s="92"/>
      <c r="K83" s="92"/>
      <c r="L83" s="989"/>
      <c r="M83" s="92"/>
      <c r="N83" s="92"/>
      <c r="O83" s="92"/>
      <c r="P83" s="92"/>
      <c r="Q83" s="989">
        <f t="shared" si="226" ref="Q83:AS83">+Q60*Q151</f>
        <v>18.611999999999998</v>
      </c>
      <c r="R83" s="92">
        <f t="shared" si="226"/>
        <v>5.0520000000000005</v>
      </c>
      <c r="S83" s="394">
        <f t="shared" si="226"/>
        <v>-11.023999999999999</v>
      </c>
      <c r="T83" s="92">
        <f t="shared" si="226"/>
        <v>-2.13</v>
      </c>
      <c r="U83" s="92">
        <f t="shared" si="227" ref="U83:U84">V83-SUM(R83,S83,T83)</f>
        <v>-0.39800000000000146</v>
      </c>
      <c r="V83" s="989">
        <f t="shared" si="226"/>
        <v>-8.50</v>
      </c>
      <c r="W83" s="92">
        <f t="shared" si="226"/>
        <v>9.0510000000000002</v>
      </c>
      <c r="X83" s="394">
        <f t="shared" si="226"/>
        <v>-9.1560000000000006</v>
      </c>
      <c r="Y83" s="92">
        <f t="shared" si="226"/>
        <v>0</v>
      </c>
      <c r="Z83" s="92">
        <f t="shared" si="228" ref="Z83:Z84">AA83-SUM(W83,X83,Y83)</f>
        <v>1.8550000000000004</v>
      </c>
      <c r="AA83" s="989">
        <f t="shared" si="226"/>
        <v>1.75</v>
      </c>
      <c r="AB83" s="92">
        <f t="shared" si="226"/>
        <v>-6.2160000000000002</v>
      </c>
      <c r="AC83" s="394">
        <f t="shared" si="226"/>
        <v>-11.83</v>
      </c>
      <c r="AD83" s="92">
        <f t="shared" si="226"/>
        <v>2.73</v>
      </c>
      <c r="AE83" s="92">
        <f t="shared" si="229" ref="AE83:AE84">AF83-SUM(AB83,AC83,AD83)</f>
        <v>8.0839999999999996</v>
      </c>
      <c r="AF83" s="989">
        <f t="shared" si="226"/>
        <v>-7.2320000000000002</v>
      </c>
      <c r="AG83" s="92">
        <f t="shared" si="226"/>
        <v>6.885</v>
      </c>
      <c r="AH83" s="394">
        <f t="shared" si="226"/>
        <v>0.92400000000000004</v>
      </c>
      <c r="AI83" s="92">
        <f t="shared" si="226"/>
        <v>8.9109999999999996</v>
      </c>
      <c r="AJ83" s="92">
        <f t="shared" si="230" ref="AJ83:AJ84">AK83-SUM(AG83,AH83,AI83)</f>
        <v>-7.4149999999999991</v>
      </c>
      <c r="AK83" s="989">
        <f t="shared" si="226"/>
        <v>9.305</v>
      </c>
      <c r="AL83" s="92">
        <f t="shared" si="226"/>
        <v>-6.1229999999999993</v>
      </c>
      <c r="AM83" s="394">
        <f t="shared" si="226"/>
        <v>-1.9120000000000001</v>
      </c>
      <c r="AN83" s="92">
        <f t="shared" si="226"/>
        <v>-57.833999999999996</v>
      </c>
      <c r="AO83" s="92">
        <f t="shared" si="231" ref="AO83:AO84">AP83-SUM(AL83,AM83,AN83)</f>
        <v>-1.2960000000000065</v>
      </c>
      <c r="AP83" s="989">
        <f t="shared" si="226"/>
        <v>-67.165000000000006</v>
      </c>
      <c r="AQ83" s="92">
        <f t="shared" si="226"/>
        <v>-18.18</v>
      </c>
      <c r="AR83" s="394">
        <f t="shared" si="226"/>
        <v>1.038</v>
      </c>
      <c r="AS83" s="92">
        <f t="shared" si="226"/>
        <v>-66.167000000000002</v>
      </c>
      <c r="AT83" s="92">
        <f t="shared" si="232" ref="AT83:AT84">AU83-SUM(AQ83,AR83,AS83)</f>
        <v>-22.617999999999995</v>
      </c>
      <c r="AU83" s="989">
        <f>+AU60*AU151</f>
        <v>-105.92699999999999</v>
      </c>
      <c r="AV83" s="92">
        <f>+AV60*AV151</f>
        <v>-6.9029999999999996</v>
      </c>
      <c r="AW83" s="394">
        <f>+AW60*AW151</f>
        <v>-2.1800000000000002</v>
      </c>
      <c r="AX83" s="92">
        <f>+AX60*AX151</f>
        <v>-4.8599999999999994</v>
      </c>
      <c r="AY83" s="92">
        <f t="shared" si="233" ref="AY83:AY84">AZ83-SUM(AV83,AW83,AX83)</f>
        <v>-18.442</v>
      </c>
      <c r="AZ83" s="989">
        <f>+AZ60*AZ151</f>
        <v>-32.385</v>
      </c>
      <c r="BA83" s="92">
        <f>+BA60*BA151</f>
        <v>2.81</v>
      </c>
      <c r="BB83" s="394">
        <f>+BB60*BB151</f>
        <v>2.935</v>
      </c>
      <c r="BC83" s="92">
        <f>+BC60*BC151</f>
        <v>-13.984</v>
      </c>
      <c r="BD83" s="92">
        <f>BE83-SUM(BA83,BB83,BC83)</f>
        <v>27.335</v>
      </c>
      <c r="BE83" s="989">
        <f>+BE60*BE151</f>
        <v>19.096</v>
      </c>
      <c r="BF83" s="92">
        <f>+BF60*BF151</f>
        <v>52.061</v>
      </c>
      <c r="BG83" s="394">
        <f>+BG60*BG151</f>
        <v>60.986999999999995</v>
      </c>
      <c r="BH83" s="464">
        <f>+BH60*BH151</f>
        <v>50.977999999999994</v>
      </c>
      <c r="BI83" s="92">
        <f>+BI60*BI151</f>
        <v>-28.861000000000004</v>
      </c>
      <c r="BJ83" s="1004">
        <f>SUM(BF83,BG83,BH83,BI83)</f>
        <v>135.16500000000002</v>
      </c>
      <c r="BK83" s="92">
        <f>+BK60*BK151</f>
        <v>-33.957000000000001</v>
      </c>
      <c r="BL83" s="92">
        <f>+BL60*BL151</f>
        <v>-43.475250000000003</v>
      </c>
      <c r="BM83" s="92">
        <f>+BM60*BM151</f>
        <v>-42.034649999999999</v>
      </c>
      <c r="BN83" s="92">
        <f>+BN60*BN151</f>
        <v>-30.304050000000004</v>
      </c>
      <c r="BO83" s="1004">
        <f>SUM(BK83,BL83,BM83,BN83)</f>
        <v>-149.77095000000003</v>
      </c>
      <c r="BP83" s="1004">
        <f>+BP60*BP151</f>
        <v>-155.83820175000002</v>
      </c>
      <c r="BQ83" s="1004">
        <f>+BQ60*BQ151</f>
        <v>-158.89200085500005</v>
      </c>
      <c r="BR83" s="1004">
        <f>+BR60*BR151</f>
        <v>-163.65876088065005</v>
      </c>
      <c r="BS83" s="305"/>
    </row>
    <row r="84" spans="1:71" s="300" customFormat="1" ht="15">
      <c r="A84" s="591" t="s">
        <v>871</v>
      </c>
      <c r="B84" s="166"/>
      <c r="C84" s="989"/>
      <c r="D84" s="989"/>
      <c r="E84" s="989"/>
      <c r="F84" s="989"/>
      <c r="G84" s="989"/>
      <c r="H84" s="92"/>
      <c r="I84" s="92"/>
      <c r="J84" s="92"/>
      <c r="K84" s="92"/>
      <c r="L84" s="989"/>
      <c r="M84" s="92"/>
      <c r="N84" s="92"/>
      <c r="O84" s="92"/>
      <c r="P84" s="92"/>
      <c r="Q84" s="989">
        <f t="shared" si="234" ref="Q84:AS84">+Q60*Q152</f>
        <v>-1.6919999999999999</v>
      </c>
      <c r="R84" s="92">
        <f t="shared" si="234"/>
        <v>-1.2630000000000001</v>
      </c>
      <c r="S84" s="394">
        <f t="shared" si="234"/>
        <v>0</v>
      </c>
      <c r="T84" s="92">
        <f t="shared" si="234"/>
        <v>-1.278</v>
      </c>
      <c r="U84" s="92">
        <f t="shared" si="227"/>
        <v>0.84100000000000041</v>
      </c>
      <c r="V84" s="989">
        <f t="shared" si="234"/>
        <v>-1.70</v>
      </c>
      <c r="W84" s="92">
        <f t="shared" si="234"/>
        <v>6.8959999999999999</v>
      </c>
      <c r="X84" s="394">
        <f t="shared" si="234"/>
        <v>-0.872</v>
      </c>
      <c r="Y84" s="92">
        <f t="shared" si="234"/>
        <v>-0.878</v>
      </c>
      <c r="Z84" s="92">
        <f t="shared" si="228"/>
        <v>-1.6459999999999999</v>
      </c>
      <c r="AA84" s="989">
        <f t="shared" si="234"/>
        <v>3.50</v>
      </c>
      <c r="AB84" s="92">
        <f t="shared" si="234"/>
        <v>-2.2200000000000002</v>
      </c>
      <c r="AC84" s="394">
        <f t="shared" si="234"/>
        <v>0</v>
      </c>
      <c r="AD84" s="92">
        <f t="shared" si="234"/>
        <v>0</v>
      </c>
      <c r="AE84" s="92">
        <f t="shared" si="229"/>
        <v>2.2200000000000002</v>
      </c>
      <c r="AF84" s="989">
        <f t="shared" si="234"/>
        <v>0</v>
      </c>
      <c r="AG84" s="92">
        <f t="shared" si="234"/>
        <v>9.18</v>
      </c>
      <c r="AH84" s="394">
        <f t="shared" si="234"/>
        <v>-2.7720000000000002</v>
      </c>
      <c r="AI84" s="92">
        <f t="shared" si="234"/>
        <v>-1.8760000000000001</v>
      </c>
      <c r="AJ84" s="92">
        <f t="shared" si="230"/>
        <v>-4.5319999999999991</v>
      </c>
      <c r="AK84" s="989">
        <f t="shared" si="234"/>
        <v>0</v>
      </c>
      <c r="AL84" s="92">
        <f t="shared" si="234"/>
        <v>-4.2389999999999999</v>
      </c>
      <c r="AM84" s="394">
        <f t="shared" si="234"/>
        <v>1.9120000000000001</v>
      </c>
      <c r="AN84" s="92">
        <f t="shared" si="234"/>
        <v>-38.880000000000003</v>
      </c>
      <c r="AO84" s="92">
        <f t="shared" si="231"/>
        <v>2.8269999999999982</v>
      </c>
      <c r="AP84" s="989">
        <f t="shared" si="234"/>
        <v>-38.380000000000003</v>
      </c>
      <c r="AQ84" s="92">
        <f t="shared" si="234"/>
        <v>-18.18</v>
      </c>
      <c r="AR84" s="394">
        <f t="shared" si="234"/>
        <v>3.633</v>
      </c>
      <c r="AS84" s="92">
        <f t="shared" si="234"/>
        <v>0</v>
      </c>
      <c r="AT84" s="92">
        <f t="shared" si="232"/>
        <v>4.1620000000000008</v>
      </c>
      <c r="AU84" s="989">
        <f>+AU60*AU152</f>
        <v>-10.385</v>
      </c>
      <c r="AV84" s="92">
        <f>+AV60*AV152</f>
        <v>4.2480000000000002</v>
      </c>
      <c r="AW84" s="394">
        <f>+AW60*AW152</f>
        <v>2.725</v>
      </c>
      <c r="AX84" s="92">
        <f>+AX60*AX152</f>
        <v>-3.24</v>
      </c>
      <c r="AY84" s="92">
        <f t="shared" si="233"/>
        <v>-1.5740000000000003</v>
      </c>
      <c r="AZ84" s="989">
        <f>+AZ60*AZ152</f>
        <v>2.1590000000000003</v>
      </c>
      <c r="BA84" s="92">
        <f>+BA60*BA152</f>
        <v>-7.306</v>
      </c>
      <c r="BB84" s="394">
        <f>+BB60*BB152</f>
        <v>-5.2829999999999995</v>
      </c>
      <c r="BC84" s="92">
        <f>+BC60*BC152</f>
        <v>-10.943999999999999</v>
      </c>
      <c r="BD84" s="92">
        <f>BE84-SUM(BA84,BB84,BC84)</f>
        <v>4.4369999999999976</v>
      </c>
      <c r="BE84" s="989">
        <f>+BE60*BE152</f>
        <v>-19.096</v>
      </c>
      <c r="BF84" s="92">
        <f>+BF60*BF152</f>
        <v>-2.6360000000000001</v>
      </c>
      <c r="BG84" s="394">
        <f>+BG60*BG152</f>
        <v>1.4020000000000001</v>
      </c>
      <c r="BH84" s="464">
        <f>+BH60*BH152</f>
        <v>-2.8719999999999999</v>
      </c>
      <c r="BI84" s="92">
        <f>+BI60*BI152</f>
        <v>-2.8861000000000003</v>
      </c>
      <c r="BJ84" s="1004">
        <f>SUM(BF84,BG84,BH84,BI84)</f>
        <v>-6.9921000000000006</v>
      </c>
      <c r="BK84" s="92">
        <f>+BK60*BK152</f>
        <v>-3.3957000000000002</v>
      </c>
      <c r="BL84" s="92">
        <f>+BL60*BL152</f>
        <v>-4.3475250000000001</v>
      </c>
      <c r="BM84" s="92">
        <f>+BM60*BM152</f>
        <v>-4.2034649999999996</v>
      </c>
      <c r="BN84" s="92">
        <f>+BN60*BN152</f>
        <v>-3.030405</v>
      </c>
      <c r="BO84" s="1004">
        <f>SUM(BK84,BL84,BM84,BN84)</f>
        <v>-14.977095</v>
      </c>
      <c r="BP84" s="1004">
        <f>+BP60*BP152</f>
        <v>-15.583820175000003</v>
      </c>
      <c r="BQ84" s="1004">
        <f>+BQ60*BQ152</f>
        <v>-15.889200085500004</v>
      </c>
      <c r="BR84" s="1004">
        <f>+BR60*BR152</f>
        <v>-16.365876088065004</v>
      </c>
      <c r="BS84" s="305"/>
    </row>
    <row r="85" spans="1:71" s="300" customFormat="1" ht="15">
      <c r="A85" s="588" t="s">
        <v>774</v>
      </c>
      <c r="B85" s="510"/>
      <c r="C85" s="994"/>
      <c r="D85" s="994"/>
      <c r="E85" s="994"/>
      <c r="F85" s="994"/>
      <c r="G85" s="994"/>
      <c r="H85" s="239"/>
      <c r="I85" s="239"/>
      <c r="J85" s="239"/>
      <c r="K85" s="239"/>
      <c r="L85" s="994"/>
      <c r="M85" s="239"/>
      <c r="N85" s="239"/>
      <c r="O85" s="239"/>
      <c r="P85" s="239"/>
      <c r="Q85" s="994">
        <f>Q60*Q153</f>
        <v>1064.268</v>
      </c>
      <c r="R85" s="239">
        <f>R60*R153</f>
        <v>293.01599999999996</v>
      </c>
      <c r="S85" s="589">
        <f>S60*S153</f>
        <v>273.05599999999998</v>
      </c>
      <c r="T85" s="239">
        <f>T60*T153</f>
        <v>255.17399999999998</v>
      </c>
      <c r="U85" s="239">
        <f>SUM(U82,U83,U84)</f>
        <v>248.05400000000009</v>
      </c>
      <c r="V85" s="994">
        <f>V60*V153</f>
        <v>1069.30</v>
      </c>
      <c r="W85" s="239">
        <f>W60*W153</f>
        <v>287.04599999999999</v>
      </c>
      <c r="X85" s="589">
        <f>X60*X153</f>
        <v>269.012</v>
      </c>
      <c r="Y85" s="239">
        <f>Y60*Y153</f>
        <v>326.17700000000002</v>
      </c>
      <c r="Z85" s="239">
        <f>SUM(Z82,Z83,Z84)</f>
        <v>237.765</v>
      </c>
      <c r="AA85" s="994">
        <f>AA60*AA153</f>
        <v>1120</v>
      </c>
      <c r="AB85" s="239">
        <f>AB60*AB153</f>
        <v>273.94799999999998</v>
      </c>
      <c r="AC85" s="589">
        <f>AC60*AC153</f>
        <v>269.815</v>
      </c>
      <c r="AD85" s="239">
        <f>AD60*AD153</f>
        <v>313.95</v>
      </c>
      <c r="AE85" s="239">
        <f>SUM(AE82,AE83,AE84)</f>
        <v>335.56700000000018</v>
      </c>
      <c r="AF85" s="994">
        <f>AF60*AF153</f>
        <v>1193.28</v>
      </c>
      <c r="AG85" s="239">
        <f>AG60*AG153</f>
        <v>304.77600000000001</v>
      </c>
      <c r="AH85" s="589">
        <f>AH60*AH153</f>
        <v>296.142</v>
      </c>
      <c r="AI85" s="239">
        <f>AI60*AI153</f>
        <v>294.06299999999999</v>
      </c>
      <c r="AJ85" s="239">
        <f>SUM(AJ82,AJ83,AJ84)</f>
        <v>242.08999999999997</v>
      </c>
      <c r="AK85" s="994">
        <f>AK60*AK153</f>
        <v>1137.0709999999999</v>
      </c>
      <c r="AL85" s="239">
        <f>AL60*AL153</f>
        <v>256.22400000000005</v>
      </c>
      <c r="AM85" s="589">
        <f>AM60*AM153</f>
        <v>310.22200000000004</v>
      </c>
      <c r="AN85" s="239">
        <f>AN60*AN153</f>
        <v>306.18</v>
      </c>
      <c r="AO85" s="239">
        <f>SUM(AO82,AO83,AO84)</f>
        <v>253.827</v>
      </c>
      <c r="AP85" s="994">
        <f>AP60*AP153</f>
        <v>1126.453</v>
      </c>
      <c r="AQ85" s="239">
        <f>AQ60*AQ153</f>
        <v>343.905</v>
      </c>
      <c r="AR85" s="589">
        <f>AR60*AR153</f>
        <v>352.92</v>
      </c>
      <c r="AS85" s="239">
        <f>AS60*AS153</f>
        <v>338.12900000000002</v>
      </c>
      <c r="AT85" s="239">
        <f>SUM(AT82,AT83,AT84)</f>
        <v>271.47899999999993</v>
      </c>
      <c r="AU85" s="994">
        <f>AU60*AU153</f>
        <v>1306.433</v>
      </c>
      <c r="AV85" s="239">
        <f>AV60*AV153</f>
        <v>382.851</v>
      </c>
      <c r="AW85" s="589">
        <f>AW60*AW153</f>
        <v>408.205</v>
      </c>
      <c r="AX85" s="239">
        <f>AX60*AX153</f>
        <v>410.94</v>
      </c>
      <c r="AY85" s="239">
        <f>SUM(AY82,AY83,AY84)</f>
        <v>518.7270000000002</v>
      </c>
      <c r="AZ85" s="994">
        <f>AZ60*AZ153</f>
        <v>1720.7230000000002</v>
      </c>
      <c r="BA85" s="239">
        <f>BA60*BA153</f>
        <v>527.15599999999995</v>
      </c>
      <c r="BB85" s="589">
        <f>BB60*BB153</f>
        <v>548.845</v>
      </c>
      <c r="BC85" s="239">
        <f>BC60*BC153</f>
        <v>477.88800000000003</v>
      </c>
      <c r="BD85" s="239">
        <f>SUM(BD82,BD83,BD84)</f>
        <v>403.45099999999968</v>
      </c>
      <c r="BE85" s="994">
        <f>BE60*BE153</f>
        <v>1957.34</v>
      </c>
      <c r="BF85" s="239">
        <f>BF60*BF153</f>
        <v>564.10400000000004</v>
      </c>
      <c r="BG85" s="589">
        <f>BG60*BG153</f>
        <v>644.92000000000007</v>
      </c>
      <c r="BH85" s="642">
        <f>BH60*BH153</f>
        <v>690.71600000000001</v>
      </c>
      <c r="BI85" s="239">
        <f t="shared" si="235" ref="BI85:BR85">SUM(BI82,BI83,BI84)</f>
        <v>372.30689999999998</v>
      </c>
      <c r="BJ85" s="1005">
        <f t="shared" si="235"/>
        <v>2272.0468999999998</v>
      </c>
      <c r="BK85" s="239">
        <f t="shared" si="235"/>
        <v>438.0453</v>
      </c>
      <c r="BL85" s="239">
        <f t="shared" si="235"/>
        <v>560.83072500000003</v>
      </c>
      <c r="BM85" s="239">
        <f t="shared" si="235"/>
        <v>542.246985</v>
      </c>
      <c r="BN85" s="239">
        <f t="shared" si="235"/>
        <v>390.92224500000003</v>
      </c>
      <c r="BO85" s="1005">
        <f t="shared" si="235"/>
        <v>1932.0452549999998</v>
      </c>
      <c r="BP85" s="1005">
        <f t="shared" si="235"/>
        <v>2010.3128025749998</v>
      </c>
      <c r="BQ85" s="1005">
        <f t="shared" si="235"/>
        <v>2049.7068110295004</v>
      </c>
      <c r="BR85" s="1005">
        <f t="shared" si="235"/>
        <v>2111.1980153603854</v>
      </c>
      <c r="BS85" s="305"/>
    </row>
    <row r="86" spans="1:71" s="300" customFormat="1" ht="15">
      <c r="A86" s="592" t="s">
        <v>872</v>
      </c>
      <c r="B86" s="166"/>
      <c r="C86" s="989"/>
      <c r="D86" s="989"/>
      <c r="E86" s="989"/>
      <c r="F86" s="989"/>
      <c r="G86" s="989"/>
      <c r="H86" s="92"/>
      <c r="I86" s="92"/>
      <c r="J86" s="92"/>
      <c r="K86" s="92"/>
      <c r="L86" s="989"/>
      <c r="M86" s="92"/>
      <c r="N86" s="92"/>
      <c r="O86" s="92"/>
      <c r="P86" s="92"/>
      <c r="Q86" s="989">
        <f t="shared" si="236" ref="Q86:AS86">+Q61*Q154</f>
        <v>366.69</v>
      </c>
      <c r="R86" s="92">
        <f t="shared" si="236"/>
        <v>86.817000000000007</v>
      </c>
      <c r="S86" s="394">
        <f t="shared" si="236"/>
        <v>98.932999999999993</v>
      </c>
      <c r="T86" s="92">
        <f t="shared" si="236"/>
        <v>91.947999999999993</v>
      </c>
      <c r="U86" s="92">
        <f>V86-SUM(R86,S86,T86)</f>
        <v>95.730000000000018</v>
      </c>
      <c r="V86" s="989">
        <f t="shared" si="236"/>
        <v>373.428</v>
      </c>
      <c r="W86" s="92">
        <f t="shared" si="236"/>
        <v>86</v>
      </c>
      <c r="X86" s="394">
        <f t="shared" si="236"/>
        <v>87.084000000000003</v>
      </c>
      <c r="Y86" s="92">
        <f t="shared" si="236"/>
        <v>82.087999999999994</v>
      </c>
      <c r="Z86" s="92">
        <f>AA86-SUM(W86,X86,Y86)</f>
        <v>74.992999999999967</v>
      </c>
      <c r="AA86" s="989">
        <f t="shared" si="236"/>
        <v>330.16499999999996</v>
      </c>
      <c r="AB86" s="92">
        <f t="shared" si="236"/>
        <v>85</v>
      </c>
      <c r="AC86" s="394">
        <f t="shared" si="236"/>
        <v>115.99499999999999</v>
      </c>
      <c r="AD86" s="92">
        <f t="shared" si="236"/>
        <v>136.048</v>
      </c>
      <c r="AE86" s="92">
        <f>AF86-SUM(AB86,AC86,AD86)</f>
        <v>130.62699999999995</v>
      </c>
      <c r="AF86" s="989">
        <f t="shared" si="236"/>
        <v>467.66999999999996</v>
      </c>
      <c r="AG86" s="92">
        <f t="shared" si="236"/>
        <v>135.23699999999999</v>
      </c>
      <c r="AH86" s="394">
        <f t="shared" si="236"/>
        <v>178.08799999999999</v>
      </c>
      <c r="AI86" s="92">
        <f t="shared" si="236"/>
        <v>195.88</v>
      </c>
      <c r="AJ86" s="92">
        <f>AK86-SUM(AG86,AH86,AI86)</f>
        <v>179.63699999999989</v>
      </c>
      <c r="AK86" s="989">
        <f t="shared" si="236"/>
        <v>688.84199999999987</v>
      </c>
      <c r="AL86" s="92">
        <f t="shared" si="236"/>
        <v>161.756</v>
      </c>
      <c r="AM86" s="394">
        <f t="shared" si="236"/>
        <v>92.855999999999995</v>
      </c>
      <c r="AN86" s="92">
        <f t="shared" si="236"/>
        <v>140.91</v>
      </c>
      <c r="AO86" s="92">
        <f>AP86-SUM(AL86,AM86,AN86)</f>
        <v>172.05799999999994</v>
      </c>
      <c r="AP86" s="989">
        <f t="shared" si="236"/>
        <v>567.57999999999993</v>
      </c>
      <c r="AQ86" s="92">
        <f t="shared" si="236"/>
        <v>124.07000000000001</v>
      </c>
      <c r="AR86" s="394">
        <f t="shared" si="236"/>
        <v>152.88</v>
      </c>
      <c r="AS86" s="92">
        <f t="shared" si="236"/>
        <v>176.86800000000002</v>
      </c>
      <c r="AT86" s="92">
        <f>AU86-SUM(AQ86,AR86,AS86)</f>
        <v>206.12799999999993</v>
      </c>
      <c r="AU86" s="989">
        <f>+AU61*AU154</f>
        <v>659.94599999999991</v>
      </c>
      <c r="AV86" s="92">
        <f>+AV61*AV154</f>
        <v>229.23000000000002</v>
      </c>
      <c r="AW86" s="394">
        <f>+AW61*AW154</f>
        <v>274.93999999999994</v>
      </c>
      <c r="AX86" s="92">
        <f>+AX61*AX154</f>
        <v>281.79199999999997</v>
      </c>
      <c r="AY86" s="92">
        <f>AZ86-SUM(AV86,AW86,AX86)</f>
        <v>270.78099999999995</v>
      </c>
      <c r="AZ86" s="989">
        <f>+AZ61*AZ154</f>
        <v>1056.7429999999999</v>
      </c>
      <c r="BA86" s="92">
        <f>+BA61*BA154</f>
        <v>203.232</v>
      </c>
      <c r="BB86" s="394">
        <f>+BB61*BB154</f>
        <v>194.93</v>
      </c>
      <c r="BC86" s="92">
        <f>+BC61*BC154</f>
        <v>162.76599999999999</v>
      </c>
      <c r="BD86" s="92">
        <f>BE86-SUM(BA86,BB86,BC86)</f>
        <v>174.649</v>
      </c>
      <c r="BE86" s="989">
        <f>+BE61*BE154</f>
        <v>735.577</v>
      </c>
      <c r="BF86" s="92">
        <f>+BF61*BF154</f>
        <v>145.84699999999995</v>
      </c>
      <c r="BG86" s="394">
        <f>+BG61*BG154</f>
        <v>140.77799999999999</v>
      </c>
      <c r="BH86" s="464">
        <f>+BH61*BH154</f>
        <v>118.98799999999999</v>
      </c>
      <c r="BI86" s="92">
        <f>+BI61*BI154</f>
        <v>160.71120000000002</v>
      </c>
      <c r="BJ86" s="1004">
        <f>SUM(BF86,BG86,BH86,BI86)</f>
        <v>566.32420000000002</v>
      </c>
      <c r="BK86" s="92">
        <f>+BK61*BK154</f>
        <v>129.2424</v>
      </c>
      <c r="BL86" s="92">
        <f>+BL61*BL154</f>
        <v>115.76249999999999</v>
      </c>
      <c r="BM86" s="92">
        <f>+BM61*BM154</f>
        <v>85.612800000000007</v>
      </c>
      <c r="BN86" s="92">
        <f>+BN61*BN154</f>
        <v>132.40130400000004</v>
      </c>
      <c r="BO86" s="1004">
        <f>SUM(BK86,BL86,BM86,BN86)</f>
        <v>463.01900400000005</v>
      </c>
      <c r="BP86" s="1004">
        <f>+BP61*BP154</f>
        <v>449.54121082500006</v>
      </c>
      <c r="BQ86" s="1004">
        <f>+BQ61*BQ154</f>
        <v>463.02744714975</v>
      </c>
      <c r="BR86" s="1004">
        <f>+BR61*BR154</f>
        <v>476.9182705642425</v>
      </c>
      <c r="BS86" s="305"/>
    </row>
    <row r="87" spans="1:71" s="300" customFormat="1" ht="15">
      <c r="A87" s="592" t="s">
        <v>873</v>
      </c>
      <c r="B87" s="166"/>
      <c r="C87" s="989"/>
      <c r="D87" s="989"/>
      <c r="E87" s="989"/>
      <c r="F87" s="989"/>
      <c r="G87" s="989"/>
      <c r="H87" s="92"/>
      <c r="I87" s="92"/>
      <c r="J87" s="92"/>
      <c r="K87" s="92"/>
      <c r="L87" s="989"/>
      <c r="M87" s="92"/>
      <c r="N87" s="92"/>
      <c r="O87" s="92"/>
      <c r="P87" s="92"/>
      <c r="Q87" s="989">
        <f t="shared" si="237" ref="Q87:AS87">+Q61*Q155</f>
        <v>26.01</v>
      </c>
      <c r="R87" s="92">
        <f t="shared" si="237"/>
        <v>9.0300000000000011</v>
      </c>
      <c r="S87" s="394">
        <f t="shared" si="237"/>
        <v>12.065</v>
      </c>
      <c r="T87" s="92">
        <f t="shared" si="237"/>
        <v>6.985</v>
      </c>
      <c r="U87" s="92">
        <f>V87-SUM(R87,S87,T87)</f>
        <v>6.8340000000000032</v>
      </c>
      <c r="V87" s="989">
        <f t="shared" si="237"/>
        <v>34.914000000000001</v>
      </c>
      <c r="W87" s="92">
        <f t="shared" si="237"/>
        <v>7</v>
      </c>
      <c r="X87" s="394">
        <f t="shared" si="237"/>
        <v>2.0060000000000002</v>
      </c>
      <c r="Y87" s="92">
        <f t="shared" si="237"/>
        <v>13.02</v>
      </c>
      <c r="Z87" s="92">
        <f>AA87-SUM(W87,X87,Y87)</f>
        <v>1.7340000000000018</v>
      </c>
      <c r="AA87" s="989">
        <f t="shared" si="237"/>
        <v>23.76</v>
      </c>
      <c r="AB87" s="92">
        <f t="shared" si="237"/>
        <v>2.992</v>
      </c>
      <c r="AC87" s="394">
        <f t="shared" si="237"/>
        <v>3.96</v>
      </c>
      <c r="AD87" s="92">
        <f t="shared" si="237"/>
        <v>5.984</v>
      </c>
      <c r="AE87" s="92">
        <f>AF87-SUM(AB87,AC87,AD87)</f>
        <v>9.3340000000000032</v>
      </c>
      <c r="AF87" s="989">
        <f t="shared" si="237"/>
        <v>22.270000000000003</v>
      </c>
      <c r="AG87" s="92">
        <f t="shared" si="237"/>
        <v>0.915</v>
      </c>
      <c r="AH87" s="394">
        <f t="shared" si="237"/>
        <v>4.0679999999999996</v>
      </c>
      <c r="AI87" s="92">
        <f t="shared" si="237"/>
        <v>2.1239999999999997</v>
      </c>
      <c r="AJ87" s="92">
        <f>AK87-SUM(AG87,AH87,AI87)</f>
        <v>5.2410000000000014</v>
      </c>
      <c r="AK87" s="989">
        <f t="shared" si="237"/>
        <v>12.348000000000001</v>
      </c>
      <c r="AL87" s="92">
        <f t="shared" si="237"/>
        <v>1.9619999999999997</v>
      </c>
      <c r="AM87" s="394">
        <f t="shared" si="237"/>
        <v>9.0630000000000006</v>
      </c>
      <c r="AN87" s="92">
        <f t="shared" si="237"/>
        <v>12.078000000000001</v>
      </c>
      <c r="AO87" s="92">
        <f>AP87-SUM(AL87,AM87,AN87)</f>
        <v>3.7420000000000009</v>
      </c>
      <c r="AP87" s="989">
        <f t="shared" si="237"/>
        <v>26.845</v>
      </c>
      <c r="AQ87" s="92">
        <f t="shared" si="237"/>
        <v>7.98</v>
      </c>
      <c r="AR87" s="394">
        <f t="shared" si="237"/>
        <v>7.0559999999999992</v>
      </c>
      <c r="AS87" s="92">
        <f t="shared" si="237"/>
        <v>9.9960000000000004</v>
      </c>
      <c r="AT87" s="92">
        <f>AU87-SUM(AQ87,AR87,AS87)</f>
        <v>-1.0489999999999995</v>
      </c>
      <c r="AU87" s="989">
        <f>+AU61*AU155</f>
        <v>23.983000000000001</v>
      </c>
      <c r="AV87" s="92">
        <f>+AV61*AV155</f>
        <v>0</v>
      </c>
      <c r="AW87" s="394">
        <f>+AW61*AW155</f>
        <v>7.965</v>
      </c>
      <c r="AX87" s="92">
        <f>+AX61*AX155</f>
        <v>10.064</v>
      </c>
      <c r="AY87" s="92">
        <f>AZ87-SUM(AV87,AW87,AX87)</f>
        <v>10.046000000000003</v>
      </c>
      <c r="AZ87" s="989">
        <f>+AZ61*AZ155</f>
        <v>28.075000000000003</v>
      </c>
      <c r="BA87" s="92">
        <f>+BA61*BA155</f>
        <v>9.048</v>
      </c>
      <c r="BB87" s="394">
        <f>+BB61*BB155</f>
        <v>8.08</v>
      </c>
      <c r="BC87" s="92">
        <f>+BC61*BC155</f>
        <v>10.087999999999999</v>
      </c>
      <c r="BD87" s="92">
        <f>BE87-SUM(BA87,BB87,BC87)</f>
        <v>2.7909999999999968</v>
      </c>
      <c r="BE87" s="989">
        <f>+BE61*BE155</f>
        <v>30.006999999999998</v>
      </c>
      <c r="BF87" s="92">
        <f>+BF61*BF155</f>
        <v>1.014</v>
      </c>
      <c r="BG87" s="394">
        <f>+BG61*BG155</f>
        <v>5.056</v>
      </c>
      <c r="BH87" s="464">
        <f>+BH61*BH155</f>
        <v>8.0030000000000001</v>
      </c>
      <c r="BI87" s="92">
        <f>+BI61*BI155</f>
        <v>10.044450000000001</v>
      </c>
      <c r="BJ87" s="1004">
        <f>SUM(BF87,BG87,BH87,BI87)</f>
        <v>24.117450000000002</v>
      </c>
      <c r="BK87" s="92">
        <f>+BK61*BK155</f>
        <v>8.0776500000000002</v>
      </c>
      <c r="BL87" s="92">
        <f>+BL61*BL155</f>
        <v>7.7175</v>
      </c>
      <c r="BM87" s="92">
        <f>+BM61*BM155</f>
        <v>5.3508000000000004</v>
      </c>
      <c r="BN87" s="92">
        <f>+BN61*BN155</f>
        <v>8.2750815000000024</v>
      </c>
      <c r="BO87" s="1004">
        <f>SUM(BK87,BL87,BM87,BN87)</f>
        <v>29.421031500000002</v>
      </c>
      <c r="BP87" s="1004">
        <f>+BP61*BP155</f>
        <v>29.969414055000009</v>
      </c>
      <c r="BQ87" s="1004">
        <f>+BQ61*BQ155</f>
        <v>30.868496476650005</v>
      </c>
      <c r="BR87" s="1004">
        <f>+BR61*BR155</f>
        <v>31.794551370949506</v>
      </c>
      <c r="BS87" s="305"/>
    </row>
    <row r="88" spans="1:71" s="300" customFormat="1" ht="15">
      <c r="A88" s="593" t="s">
        <v>874</v>
      </c>
      <c r="B88" s="510"/>
      <c r="C88" s="994"/>
      <c r="D88" s="994"/>
      <c r="E88" s="994"/>
      <c r="F88" s="994"/>
      <c r="G88" s="994"/>
      <c r="H88" s="239"/>
      <c r="I88" s="239"/>
      <c r="J88" s="239"/>
      <c r="K88" s="239"/>
      <c r="L88" s="994"/>
      <c r="M88" s="239"/>
      <c r="N88" s="239"/>
      <c r="O88" s="239"/>
      <c r="P88" s="239"/>
      <c r="Q88" s="994">
        <f t="shared" si="238" ref="Q88:AS88">+Q61*Q156</f>
        <v>392.70</v>
      </c>
      <c r="R88" s="239">
        <f t="shared" si="238"/>
        <v>95.846999999999994</v>
      </c>
      <c r="S88" s="589">
        <f t="shared" si="238"/>
        <v>110.99799999999999</v>
      </c>
      <c r="T88" s="239">
        <f t="shared" si="238"/>
        <v>98.933000000000007</v>
      </c>
      <c r="U88" s="239">
        <f>SUM(U86,U87)</f>
        <v>102.56400000000002</v>
      </c>
      <c r="V88" s="994">
        <f t="shared" si="238"/>
        <v>408.34199999999998</v>
      </c>
      <c r="W88" s="239">
        <f t="shared" si="238"/>
        <v>93</v>
      </c>
      <c r="X88" s="589">
        <f t="shared" si="238"/>
        <v>89.09</v>
      </c>
      <c r="Y88" s="239">
        <f t="shared" si="238"/>
        <v>95.10799999999999</v>
      </c>
      <c r="Z88" s="239">
        <f>SUM(Z86,Z87)</f>
        <v>76.726999999999975</v>
      </c>
      <c r="AA88" s="994">
        <f t="shared" si="238"/>
        <v>353.925</v>
      </c>
      <c r="AB88" s="239">
        <f t="shared" si="238"/>
        <v>87.992000000000004</v>
      </c>
      <c r="AC88" s="589">
        <f t="shared" si="238"/>
        <v>119.955</v>
      </c>
      <c r="AD88" s="239">
        <f t="shared" si="238"/>
        <v>142.03200000000001</v>
      </c>
      <c r="AE88" s="239">
        <f>SUM(AE86,AE87)</f>
        <v>139.96099999999996</v>
      </c>
      <c r="AF88" s="994">
        <f t="shared" si="238"/>
        <v>489.94</v>
      </c>
      <c r="AG88" s="239">
        <f t="shared" si="238"/>
        <v>136.15199999999999</v>
      </c>
      <c r="AH88" s="589">
        <f t="shared" si="238"/>
        <v>182.15599999999998</v>
      </c>
      <c r="AI88" s="239">
        <f t="shared" si="238"/>
        <v>198.00399999999999</v>
      </c>
      <c r="AJ88" s="239">
        <f>SUM(AJ86,AJ87)</f>
        <v>184.8779999999999</v>
      </c>
      <c r="AK88" s="994">
        <f t="shared" si="238"/>
        <v>701.19</v>
      </c>
      <c r="AL88" s="239">
        <f t="shared" si="238"/>
        <v>163.71799999999999</v>
      </c>
      <c r="AM88" s="589">
        <f t="shared" si="238"/>
        <v>101.919</v>
      </c>
      <c r="AN88" s="239">
        <f t="shared" si="238"/>
        <v>152.988</v>
      </c>
      <c r="AO88" s="239">
        <f>SUM(AO86,AO87)</f>
        <v>175.79999999999993</v>
      </c>
      <c r="AP88" s="994">
        <f t="shared" si="238"/>
        <v>594.42499999999995</v>
      </c>
      <c r="AQ88" s="239">
        <f t="shared" si="238"/>
        <v>132.05000000000001</v>
      </c>
      <c r="AR88" s="589">
        <f t="shared" si="238"/>
        <v>159.93600000000001</v>
      </c>
      <c r="AS88" s="239">
        <f t="shared" si="238"/>
        <v>186.86400000000003</v>
      </c>
      <c r="AT88" s="239">
        <f>SUM(AT86,AT87)</f>
        <v>205.07899999999992</v>
      </c>
      <c r="AU88" s="994">
        <f>+AU61*AU156</f>
        <v>683.92899999999997</v>
      </c>
      <c r="AV88" s="239">
        <f>+AV61*AV156</f>
        <v>229.23000000000002</v>
      </c>
      <c r="AW88" s="589">
        <f>+AW61*AW156</f>
        <v>282.90499999999997</v>
      </c>
      <c r="AX88" s="239">
        <f>+AX61*AX156</f>
        <v>291.85599999999999</v>
      </c>
      <c r="AY88" s="239">
        <f>SUM(AY86,AY87)</f>
        <v>280.82699999999994</v>
      </c>
      <c r="AZ88" s="994">
        <f>+AZ61*AZ156</f>
        <v>1084.818</v>
      </c>
      <c r="BA88" s="239">
        <f>+BA61*BA156</f>
        <v>212.28</v>
      </c>
      <c r="BB88" s="589">
        <f>+BB61*BB156</f>
        <v>203.01000000000002</v>
      </c>
      <c r="BC88" s="239">
        <f>+BC61*BC156</f>
        <v>172.85400000000001</v>
      </c>
      <c r="BD88" s="239">
        <f>SUM(BD86,BD87)</f>
        <v>177.44</v>
      </c>
      <c r="BE88" s="994">
        <f>+BE61*BE156</f>
        <v>765.58400000000006</v>
      </c>
      <c r="BF88" s="239">
        <f>+BF61*BF156</f>
        <v>146.86099999999996</v>
      </c>
      <c r="BG88" s="589">
        <f>+BG61*BG156</f>
        <v>145.834</v>
      </c>
      <c r="BH88" s="642">
        <f>+BH61*BH156</f>
        <v>126.991</v>
      </c>
      <c r="BI88" s="239">
        <f t="shared" si="239" ref="BI88:BR88">SUM(BI86,BI87)</f>
        <v>170.75565000000003</v>
      </c>
      <c r="BJ88" s="1005">
        <f t="shared" si="239"/>
        <v>590.44164999999998</v>
      </c>
      <c r="BK88" s="239">
        <f t="shared" si="239"/>
        <v>137.32005000000001</v>
      </c>
      <c r="BL88" s="239">
        <f t="shared" si="239"/>
        <v>123.47999999999999</v>
      </c>
      <c r="BM88" s="239">
        <f t="shared" si="239"/>
        <v>90.963600000000014</v>
      </c>
      <c r="BN88" s="239">
        <f t="shared" si="239"/>
        <v>140.67638550000004</v>
      </c>
      <c r="BO88" s="1005">
        <f t="shared" si="239"/>
        <v>492.44003550000008</v>
      </c>
      <c r="BP88" s="1005">
        <f t="shared" si="239"/>
        <v>479.51062488000008</v>
      </c>
      <c r="BQ88" s="1005">
        <f t="shared" si="239"/>
        <v>493.89594362640003</v>
      </c>
      <c r="BR88" s="1005">
        <f t="shared" si="239"/>
        <v>508.71282193519198</v>
      </c>
      <c r="BS88" s="305"/>
    </row>
    <row r="89" spans="1:71" s="300" customFormat="1" ht="15">
      <c r="A89" s="591" t="s">
        <v>875</v>
      </c>
      <c r="B89" s="166"/>
      <c r="C89" s="989"/>
      <c r="D89" s="989"/>
      <c r="E89" s="989"/>
      <c r="F89" s="989"/>
      <c r="G89" s="989"/>
      <c r="H89" s="92"/>
      <c r="I89" s="92"/>
      <c r="J89" s="92"/>
      <c r="K89" s="92"/>
      <c r="L89" s="989"/>
      <c r="M89" s="92"/>
      <c r="N89" s="92"/>
      <c r="O89" s="92"/>
      <c r="P89" s="92"/>
      <c r="Q89" s="989">
        <f t="shared" si="240" ref="Q89:AS89">+Q61*Q157</f>
        <v>2.04</v>
      </c>
      <c r="R89" s="92">
        <f t="shared" si="240"/>
        <v>19.995</v>
      </c>
      <c r="S89" s="394">
        <f t="shared" si="240"/>
        <v>22.986999999999998</v>
      </c>
      <c r="T89" s="92">
        <f t="shared" si="240"/>
        <v>13.081</v>
      </c>
      <c r="U89" s="92">
        <f t="shared" si="241" ref="U89:U90">V89-SUM(R89,S89,T89)</f>
        <v>5.6689999999999969</v>
      </c>
      <c r="V89" s="989">
        <f t="shared" si="240"/>
        <v>61.731999999999999</v>
      </c>
      <c r="W89" s="92">
        <f t="shared" si="240"/>
        <v>2</v>
      </c>
      <c r="X89" s="394">
        <f t="shared" si="240"/>
        <v>-2.0060000000000002</v>
      </c>
      <c r="Y89" s="92">
        <f t="shared" si="240"/>
        <v>6.944</v>
      </c>
      <c r="Z89" s="92">
        <f t="shared" si="242" ref="Z89:Z90">AA89-SUM(W89,X89,Y89)</f>
        <v>11.872</v>
      </c>
      <c r="AA89" s="989">
        <f t="shared" si="240"/>
        <v>18.81</v>
      </c>
      <c r="AB89" s="92">
        <f t="shared" si="240"/>
        <v>19.991999999999997</v>
      </c>
      <c r="AC89" s="394">
        <f t="shared" si="240"/>
        <v>45.045</v>
      </c>
      <c r="AD89" s="92">
        <f t="shared" si="240"/>
        <v>42.064</v>
      </c>
      <c r="AE89" s="92">
        <f t="shared" si="243" ref="AE89:AE90">AF89-SUM(AB89,AC89,AD89)</f>
        <v>0.97400000000000375</v>
      </c>
      <c r="AF89" s="989">
        <f t="shared" si="240"/>
        <v>108.075</v>
      </c>
      <c r="AG89" s="92">
        <f t="shared" si="240"/>
        <v>4.0259999999999998</v>
      </c>
      <c r="AH89" s="394">
        <f t="shared" si="240"/>
        <v>12.882</v>
      </c>
      <c r="AI89" s="92">
        <f t="shared" si="240"/>
        <v>0</v>
      </c>
      <c r="AJ89" s="92">
        <f t="shared" si="244" ref="AJ89:AJ90">AK89-SUM(AG89,AH89,AI89)</f>
        <v>-0.15000000000000213</v>
      </c>
      <c r="AK89" s="989">
        <f t="shared" si="240"/>
        <v>16.757999999999999</v>
      </c>
      <c r="AL89" s="92">
        <f t="shared" si="240"/>
        <v>6.1040000000000001</v>
      </c>
      <c r="AM89" s="394">
        <f t="shared" si="240"/>
        <v>20.988</v>
      </c>
      <c r="AN89" s="92">
        <f t="shared" si="240"/>
        <v>2.0129999999999999</v>
      </c>
      <c r="AO89" s="92">
        <f t="shared" si="245" ref="AO89:AO90">AP89-SUM(AL89,AM89,AN89)</f>
        <v>6.9440000000000026</v>
      </c>
      <c r="AP89" s="989">
        <f t="shared" si="240"/>
        <v>36.048999999999999</v>
      </c>
      <c r="AQ89" s="92">
        <f t="shared" si="240"/>
        <v>15.01</v>
      </c>
      <c r="AR89" s="394">
        <f t="shared" si="240"/>
        <v>18.032</v>
      </c>
      <c r="AS89" s="92">
        <f t="shared" si="240"/>
        <v>25.091999999999999</v>
      </c>
      <c r="AT89" s="92">
        <f t="shared" si="246" ref="AT89:AT90">AU89-SUM(AQ89,AR89,AS89)</f>
        <v>60.953999999999994</v>
      </c>
      <c r="AU89" s="989">
        <f>+AU61*AU157</f>
        <v>119.08799999999999</v>
      </c>
      <c r="AV89" s="92">
        <f>+AV61*AV157</f>
        <v>18.961000000000002</v>
      </c>
      <c r="AW89" s="394">
        <f>+AW61*AW157</f>
        <v>92.04</v>
      </c>
      <c r="AX89" s="92">
        <f>+AX61*AX157</f>
        <v>63.936</v>
      </c>
      <c r="AY89" s="92">
        <f t="shared" si="247" ref="AY89:AY90">AZ89-SUM(AV89,AW89,AX89)</f>
        <v>96.829000000000008</v>
      </c>
      <c r="AZ89" s="989">
        <f>+AZ61*AZ157</f>
        <v>271.76600000000002</v>
      </c>
      <c r="BA89" s="92">
        <f>+BA61*BA157</f>
        <v>23.895999999999997</v>
      </c>
      <c r="BB89" s="394">
        <f>+BB61*BB157</f>
        <v>7.8780000000000001</v>
      </c>
      <c r="BC89" s="92">
        <f>+BC61*BC157</f>
        <v>19.012</v>
      </c>
      <c r="BD89" s="92">
        <f>BE89-SUM(BA89,BB89,BC89)</f>
        <v>33.557999999999993</v>
      </c>
      <c r="BE89" s="989">
        <f>+BE61*BE157</f>
        <v>84.343999999999994</v>
      </c>
      <c r="BF89" s="92">
        <f>+BF61*BF157</f>
        <v>51.037999999999997</v>
      </c>
      <c r="BG89" s="394">
        <f>+BG61*BG157</f>
        <v>106.96600000000001</v>
      </c>
      <c r="BH89" s="464">
        <f>+BH61*BH157</f>
        <v>1.0569999999999999</v>
      </c>
      <c r="BI89" s="92">
        <f>+BI61*BI157</f>
        <v>10.044450000000001</v>
      </c>
      <c r="BJ89" s="1004">
        <f>SUM(BF89,BG89,BH89,BI89)</f>
        <v>169.10545000000002</v>
      </c>
      <c r="BK89" s="92">
        <f>+BK61*BK157</f>
        <v>8.0776500000000002</v>
      </c>
      <c r="BL89" s="92">
        <f>+BL61*BL157</f>
        <v>7.7175</v>
      </c>
      <c r="BM89" s="92">
        <f>+BM61*BM157</f>
        <v>5.3508000000000004</v>
      </c>
      <c r="BN89" s="92">
        <f>+BN61*BN157</f>
        <v>8.2750815000000024</v>
      </c>
      <c r="BO89" s="1004">
        <f>SUM(BK89,BL89,BM89,BN89)</f>
        <v>29.421031500000002</v>
      </c>
      <c r="BP89" s="1004">
        <f>+BP61*BP157</f>
        <v>29.969414055000009</v>
      </c>
      <c r="BQ89" s="1004">
        <f>+BQ61*BQ157</f>
        <v>30.868496476650005</v>
      </c>
      <c r="BR89" s="1004">
        <f>+BR61*BR157</f>
        <v>31.794551370949506</v>
      </c>
      <c r="BS89" s="305"/>
    </row>
    <row r="90" spans="1:71" s="300" customFormat="1" ht="15">
      <c r="A90" s="591" t="s">
        <v>876</v>
      </c>
      <c r="B90" s="166"/>
      <c r="C90" s="989"/>
      <c r="D90" s="989"/>
      <c r="E90" s="989"/>
      <c r="F90" s="989"/>
      <c r="G90" s="989"/>
      <c r="H90" s="92"/>
      <c r="I90" s="92"/>
      <c r="J90" s="92"/>
      <c r="K90" s="92"/>
      <c r="L90" s="989"/>
      <c r="M90" s="92"/>
      <c r="N90" s="92"/>
      <c r="O90" s="92"/>
      <c r="P90" s="92"/>
      <c r="Q90" s="989">
        <f t="shared" si="248" ref="Q90:AS90">+Q61*Q158</f>
        <v>5.1000000000000005</v>
      </c>
      <c r="R90" s="92">
        <f t="shared" si="248"/>
        <v>3.0960000000000001</v>
      </c>
      <c r="S90" s="394">
        <f t="shared" si="248"/>
        <v>1.016</v>
      </c>
      <c r="T90" s="92">
        <f t="shared" si="248"/>
        <v>0</v>
      </c>
      <c r="U90" s="92">
        <f t="shared" si="241"/>
        <v>0.9480000000000004</v>
      </c>
      <c r="V90" s="989">
        <f t="shared" si="248"/>
        <v>5.0600000000000005</v>
      </c>
      <c r="W90" s="92">
        <f t="shared" si="248"/>
        <v>1</v>
      </c>
      <c r="X90" s="394">
        <f t="shared" si="248"/>
        <v>-1.0619999999999998</v>
      </c>
      <c r="Y90" s="92">
        <f t="shared" si="248"/>
        <v>0.99199999999999999</v>
      </c>
      <c r="Z90" s="92">
        <f t="shared" si="242"/>
        <v>0.059999999999999831</v>
      </c>
      <c r="AA90" s="989">
        <f t="shared" si="248"/>
        <v>0.99</v>
      </c>
      <c r="AB90" s="92">
        <f t="shared" si="248"/>
        <v>-0.95200000000000007</v>
      </c>
      <c r="AC90" s="394">
        <f t="shared" si="248"/>
        <v>0.99</v>
      </c>
      <c r="AD90" s="92">
        <f t="shared" si="248"/>
        <v>0</v>
      </c>
      <c r="AE90" s="92">
        <f t="shared" si="243"/>
        <v>-0.037999999999999923</v>
      </c>
      <c r="AF90" s="989">
        <f t="shared" si="248"/>
        <v>0</v>
      </c>
      <c r="AG90" s="92">
        <f t="shared" si="248"/>
        <v>-1.0980000000000001</v>
      </c>
      <c r="AH90" s="394">
        <f t="shared" si="248"/>
        <v>0.90400000000000003</v>
      </c>
      <c r="AI90" s="92">
        <f t="shared" si="248"/>
        <v>-0.94400000000000006</v>
      </c>
      <c r="AJ90" s="92">
        <f t="shared" si="244"/>
        <v>0.25600000000000012</v>
      </c>
      <c r="AK90" s="989">
        <f t="shared" si="248"/>
        <v>-0.88200000000000001</v>
      </c>
      <c r="AL90" s="92">
        <f t="shared" si="248"/>
        <v>1.0900000000000001</v>
      </c>
      <c r="AM90" s="394">
        <f t="shared" si="248"/>
        <v>2.0669999999999997</v>
      </c>
      <c r="AN90" s="92">
        <f t="shared" si="248"/>
        <v>-2.0129999999999999</v>
      </c>
      <c r="AO90" s="92">
        <f t="shared" si="245"/>
        <v>0.3899999999999999</v>
      </c>
      <c r="AP90" s="989">
        <f t="shared" si="248"/>
        <v>1.534</v>
      </c>
      <c r="AQ90" s="92">
        <f t="shared" si="248"/>
        <v>1.90</v>
      </c>
      <c r="AR90" s="394">
        <f t="shared" si="248"/>
        <v>0</v>
      </c>
      <c r="AS90" s="92">
        <f t="shared" si="248"/>
        <v>1.02</v>
      </c>
      <c r="AT90" s="92">
        <f t="shared" si="246"/>
        <v>0.38800000000000034</v>
      </c>
      <c r="AU90" s="989">
        <f>+AU61*AU158</f>
        <v>3.3080000000000003</v>
      </c>
      <c r="AV90" s="92">
        <f>+AV61*AV158</f>
        <v>-1.1320000000000001</v>
      </c>
      <c r="AW90" s="394">
        <f>+AW61*AW158</f>
        <v>0</v>
      </c>
      <c r="AX90" s="92">
        <f>+AX61*AX158</f>
        <v>1.1839999999999999</v>
      </c>
      <c r="AY90" s="92">
        <f t="shared" si="247"/>
        <v>-1.1749999999999998</v>
      </c>
      <c r="AZ90" s="989">
        <f>+AZ61*AZ158</f>
        <v>-1.123</v>
      </c>
      <c r="BA90" s="92">
        <f>+BA61*BA158</f>
        <v>0.92800000000000005</v>
      </c>
      <c r="BB90" s="394">
        <f>+BB61*BB158</f>
        <v>2.02</v>
      </c>
      <c r="BC90" s="92">
        <f>+BC61*BC158</f>
        <v>6.0140000000000002</v>
      </c>
      <c r="BD90" s="92">
        <f>BE90-SUM(BA90,BB90,BC90)</f>
        <v>-0.85200000000000031</v>
      </c>
      <c r="BE90" s="989">
        <f>+BE61*BE158</f>
        <v>8.1099999999999994</v>
      </c>
      <c r="BF90" s="92">
        <f>+BF61*BF158</f>
        <v>-2.8730000000000002</v>
      </c>
      <c r="BG90" s="394">
        <f>+BG61*BG158</f>
        <v>-1.8960000000000001</v>
      </c>
      <c r="BH90" s="464">
        <f>+BH61*BH158</f>
        <v>0</v>
      </c>
      <c r="BI90" s="92">
        <f>+BI61*BI158</f>
        <v>1.004445</v>
      </c>
      <c r="BJ90" s="1004">
        <f>SUM(BF90,BG90,BH90,BI90)</f>
        <v>-3.7645550000000001</v>
      </c>
      <c r="BK90" s="92">
        <f>+BK61*BK158</f>
        <v>0.80776499999999996</v>
      </c>
      <c r="BL90" s="92">
        <f>+BL61*BL158</f>
        <v>0.77174999999999994</v>
      </c>
      <c r="BM90" s="92">
        <f>+BM61*BM158</f>
        <v>0.53508</v>
      </c>
      <c r="BN90" s="92">
        <f>+BN61*BN158</f>
        <v>0.82750815000000022</v>
      </c>
      <c r="BO90" s="1004">
        <f>SUM(BK90,BL90,BM90,BN90)</f>
        <v>2.9421031499999999</v>
      </c>
      <c r="BP90" s="1004">
        <f>+BP61*BP158</f>
        <v>2.9969414055000003</v>
      </c>
      <c r="BQ90" s="1004">
        <f>+BQ61*BQ158</f>
        <v>3.0868496476650003</v>
      </c>
      <c r="BR90" s="1004">
        <f>+BR61*BR158</f>
        <v>3.17945513709495</v>
      </c>
      <c r="BS90" s="305"/>
    </row>
    <row r="91" spans="1:71" s="300" customFormat="1" ht="15">
      <c r="A91" s="588" t="s">
        <v>775</v>
      </c>
      <c r="B91" s="510"/>
      <c r="C91" s="994">
        <f>C61*C159</f>
        <v>0</v>
      </c>
      <c r="D91" s="994"/>
      <c r="E91" s="994"/>
      <c r="F91" s="994"/>
      <c r="G91" s="994"/>
      <c r="H91" s="239"/>
      <c r="I91" s="239"/>
      <c r="J91" s="239"/>
      <c r="K91" s="239"/>
      <c r="L91" s="994"/>
      <c r="M91" s="239"/>
      <c r="N91" s="239"/>
      <c r="O91" s="239"/>
      <c r="P91" s="239"/>
      <c r="Q91" s="994">
        <f t="shared" si="249" ref="Q91:T93">Q61*Q159</f>
        <v>399.84</v>
      </c>
      <c r="R91" s="239">
        <f t="shared" si="249"/>
        <v>118.938</v>
      </c>
      <c r="S91" s="589">
        <f t="shared" si="249"/>
        <v>135.001</v>
      </c>
      <c r="T91" s="239">
        <f t="shared" si="249"/>
        <v>112.014</v>
      </c>
      <c r="U91" s="239">
        <f>SUM(U88,U89,U90)</f>
        <v>109.18100000000001</v>
      </c>
      <c r="V91" s="994">
        <f t="shared" si="250" ref="V91:Y93">V61*V159</f>
        <v>475.13399999999996</v>
      </c>
      <c r="W91" s="239">
        <f t="shared" si="250"/>
        <v>96</v>
      </c>
      <c r="X91" s="589">
        <f t="shared" si="250"/>
        <v>86.021999999999991</v>
      </c>
      <c r="Y91" s="239">
        <f t="shared" si="250"/>
        <v>103.044</v>
      </c>
      <c r="Z91" s="239">
        <f>SUM(Z88,Z89,Z90)</f>
        <v>88.658999999999978</v>
      </c>
      <c r="AA91" s="994">
        <f t="shared" si="251" ref="AA91:AD93">AA61*AA159</f>
        <v>373.725</v>
      </c>
      <c r="AB91" s="239">
        <f t="shared" si="251"/>
        <v>107.03200000000001</v>
      </c>
      <c r="AC91" s="589">
        <f t="shared" si="251"/>
        <v>165.99</v>
      </c>
      <c r="AD91" s="239">
        <f t="shared" si="251"/>
        <v>184.096</v>
      </c>
      <c r="AE91" s="239">
        <f>SUM(AE88,AE89,AE90)</f>
        <v>140.89699999999993</v>
      </c>
      <c r="AF91" s="994">
        <f t="shared" si="252" ref="AF91:AI93">AF61*AF159</f>
        <v>598.015</v>
      </c>
      <c r="AG91" s="239">
        <f t="shared" si="252"/>
        <v>139.08000000000001</v>
      </c>
      <c r="AH91" s="589">
        <f t="shared" si="252"/>
        <v>195.94200000000001</v>
      </c>
      <c r="AI91" s="239">
        <f t="shared" si="252"/>
        <v>197.06</v>
      </c>
      <c r="AJ91" s="239">
        <f>SUM(AJ88,AJ89,AJ90)</f>
        <v>184.9839999999999</v>
      </c>
      <c r="AK91" s="994">
        <f t="shared" si="253" ref="AK91:AN93">AK61*AK159</f>
        <v>717.06599999999992</v>
      </c>
      <c r="AL91" s="239">
        <f t="shared" si="253"/>
        <v>170.91200000000001</v>
      </c>
      <c r="AM91" s="589">
        <f t="shared" si="253"/>
        <v>124.974</v>
      </c>
      <c r="AN91" s="239">
        <f t="shared" si="253"/>
        <v>152.988</v>
      </c>
      <c r="AO91" s="239">
        <f>SUM(AO88,AO89,AO90)</f>
        <v>183.1339999999999</v>
      </c>
      <c r="AP91" s="994">
        <f t="shared" si="254" ref="AP91:AS93">AP61*AP159</f>
        <v>632.00799999999992</v>
      </c>
      <c r="AQ91" s="239">
        <f t="shared" si="254"/>
        <v>148.96000000000001</v>
      </c>
      <c r="AR91" s="589">
        <f t="shared" si="254"/>
        <v>177.96800000000002</v>
      </c>
      <c r="AS91" s="239">
        <f t="shared" si="254"/>
        <v>212.976</v>
      </c>
      <c r="AT91" s="239">
        <f>SUM(AT88,AT89,AT90)</f>
        <v>266.42099999999988</v>
      </c>
      <c r="AU91" s="994">
        <f t="shared" si="255" ref="AU91:AX93">AU61*AU159</f>
        <v>806.325</v>
      </c>
      <c r="AV91" s="239">
        <f t="shared" si="255"/>
        <v>247.059</v>
      </c>
      <c r="AW91" s="589">
        <f t="shared" si="255"/>
        <v>374.945</v>
      </c>
      <c r="AX91" s="239">
        <f t="shared" si="255"/>
        <v>356.976</v>
      </c>
      <c r="AY91" s="239">
        <f>SUM(AY88,AY89,AY90)</f>
        <v>376.48099999999994</v>
      </c>
      <c r="AZ91" s="994">
        <f t="shared" si="256" ref="AZ91">AZ61*AZ159</f>
        <v>1355.461</v>
      </c>
      <c r="BA91" s="239">
        <f t="shared" si="257" ref="BA91:BB93">BA61*BA159</f>
        <v>237.10400000000001</v>
      </c>
      <c r="BB91" s="589">
        <f t="shared" si="257"/>
        <v>212.90800000000002</v>
      </c>
      <c r="BC91" s="239">
        <f>BC61*BC159</f>
        <v>197.88</v>
      </c>
      <c r="BD91" s="239">
        <f>SUM(BD88,BD89,BD90)</f>
        <v>210.14599999999999</v>
      </c>
      <c r="BE91" s="994">
        <f t="shared" si="258" ref="BE91:BF93">BE61*BE159</f>
        <v>858.03800000000001</v>
      </c>
      <c r="BF91" s="239">
        <f t="shared" si="258"/>
        <v>195.02599999999998</v>
      </c>
      <c r="BG91" s="589">
        <f t="shared" si="259" ref="BG91:BH93">BG61*BG159</f>
        <v>250.90400000000002</v>
      </c>
      <c r="BH91" s="642">
        <f t="shared" si="259"/>
        <v>128.048</v>
      </c>
      <c r="BI91" s="239">
        <f t="shared" si="260" ref="BI91:BR91">SUM(BI88,BI89,BI90)</f>
        <v>181.80454500000005</v>
      </c>
      <c r="BJ91" s="1005">
        <f t="shared" si="260"/>
        <v>755.78254500000003</v>
      </c>
      <c r="BK91" s="239">
        <f t="shared" si="260"/>
        <v>146.205465</v>
      </c>
      <c r="BL91" s="239">
        <f t="shared" si="260"/>
        <v>131.96924999999999</v>
      </c>
      <c r="BM91" s="239">
        <f t="shared" si="260"/>
        <v>96.849480000000014</v>
      </c>
      <c r="BN91" s="239">
        <f t="shared" si="260"/>
        <v>149.77897515000004</v>
      </c>
      <c r="BO91" s="1005">
        <f t="shared" si="260"/>
        <v>524.80317015000003</v>
      </c>
      <c r="BP91" s="1005">
        <f t="shared" si="260"/>
        <v>512.47698034050006</v>
      </c>
      <c r="BQ91" s="1005">
        <f t="shared" si="260"/>
        <v>527.85128975071495</v>
      </c>
      <c r="BR91" s="1005">
        <f t="shared" si="260"/>
        <v>543.68682844323644</v>
      </c>
      <c r="BS91" s="305"/>
    </row>
    <row r="92" spans="1:71" s="300" customFormat="1" ht="15">
      <c r="A92" s="567" t="s">
        <v>802</v>
      </c>
      <c r="B92" s="166"/>
      <c r="C92" s="989">
        <f>C62*C160</f>
        <v>0</v>
      </c>
      <c r="D92" s="989"/>
      <c r="E92" s="989"/>
      <c r="F92" s="989"/>
      <c r="G92" s="989"/>
      <c r="H92" s="92"/>
      <c r="I92" s="92"/>
      <c r="J92" s="92"/>
      <c r="K92" s="92"/>
      <c r="L92" s="989"/>
      <c r="M92" s="92"/>
      <c r="N92" s="92"/>
      <c r="O92" s="92"/>
      <c r="P92" s="92"/>
      <c r="Q92" s="989">
        <f t="shared" si="249"/>
        <v>263.10899999999998</v>
      </c>
      <c r="R92" s="92">
        <f t="shared" si="249"/>
        <v>0</v>
      </c>
      <c r="S92" s="394">
        <f t="shared" si="249"/>
        <v>0</v>
      </c>
      <c r="T92" s="92">
        <f t="shared" si="249"/>
        <v>0</v>
      </c>
      <c r="U92" s="92">
        <f t="shared" si="261" ref="U92:U93">V92-R92-S92-T92</f>
        <v>0</v>
      </c>
      <c r="V92" s="989">
        <f t="shared" si="250"/>
        <v>0</v>
      </c>
      <c r="W92" s="92">
        <f t="shared" si="250"/>
        <v>0</v>
      </c>
      <c r="X92" s="394">
        <f t="shared" si="250"/>
        <v>0</v>
      </c>
      <c r="Y92" s="92">
        <f t="shared" si="250"/>
        <v>0</v>
      </c>
      <c r="Z92" s="92">
        <f t="shared" si="262" ref="Z92:Z93">AA92-W92-X92-Y92</f>
        <v>0</v>
      </c>
      <c r="AA92" s="989">
        <f t="shared" si="251"/>
        <v>0</v>
      </c>
      <c r="AB92" s="92">
        <f t="shared" si="251"/>
        <v>0</v>
      </c>
      <c r="AC92" s="394">
        <f t="shared" si="251"/>
        <v>0</v>
      </c>
      <c r="AD92" s="92">
        <f t="shared" si="251"/>
        <v>0</v>
      </c>
      <c r="AE92" s="92">
        <f t="shared" si="263" ref="AE92:AE93">AF92-AB92-AC92-AD92</f>
        <v>0</v>
      </c>
      <c r="AF92" s="989">
        <f t="shared" si="252"/>
        <v>0</v>
      </c>
      <c r="AG92" s="92">
        <f t="shared" si="252"/>
        <v>0</v>
      </c>
      <c r="AH92" s="394">
        <f t="shared" si="252"/>
        <v>0</v>
      </c>
      <c r="AI92" s="92">
        <f t="shared" si="252"/>
        <v>0</v>
      </c>
      <c r="AJ92" s="92">
        <f t="shared" si="264" ref="AJ92:AJ93">AK92-AG92-AH92-AI92</f>
        <v>0</v>
      </c>
      <c r="AK92" s="989">
        <f t="shared" si="253"/>
        <v>0</v>
      </c>
      <c r="AL92" s="92">
        <f t="shared" si="253"/>
        <v>0</v>
      </c>
      <c r="AM92" s="394">
        <f t="shared" si="253"/>
        <v>0</v>
      </c>
      <c r="AN92" s="92">
        <f t="shared" si="253"/>
        <v>0</v>
      </c>
      <c r="AO92" s="92">
        <f t="shared" si="265" ref="AO92:AO93">AP92-AL92-AM92-AN92</f>
        <v>0</v>
      </c>
      <c r="AP92" s="989">
        <f t="shared" si="254"/>
        <v>0</v>
      </c>
      <c r="AQ92" s="92">
        <f t="shared" si="254"/>
        <v>0</v>
      </c>
      <c r="AR92" s="394">
        <f t="shared" si="254"/>
        <v>0</v>
      </c>
      <c r="AS92" s="92">
        <f t="shared" si="254"/>
        <v>0</v>
      </c>
      <c r="AT92" s="92">
        <f t="shared" si="266" ref="AT92:AT94">AU92-AQ92-AR92-AS92</f>
        <v>0</v>
      </c>
      <c r="AU92" s="989">
        <f t="shared" si="255"/>
        <v>0</v>
      </c>
      <c r="AV92" s="92">
        <f t="shared" si="255"/>
        <v>35.03</v>
      </c>
      <c r="AW92" s="394">
        <f t="shared" si="255"/>
        <v>42</v>
      </c>
      <c r="AX92" s="92">
        <f t="shared" si="255"/>
        <v>75.977999999999994</v>
      </c>
      <c r="AY92" s="92">
        <f t="shared" si="267" ref="AY92:AY93">AZ92-AV92-AW92-AX92</f>
        <v>42.122</v>
      </c>
      <c r="AZ92" s="989">
        <f t="shared" si="268" ref="AZ92">AZ62*AZ160</f>
        <v>195.13</v>
      </c>
      <c r="BA92" s="92">
        <f t="shared" si="257"/>
        <v>53.012999999999998</v>
      </c>
      <c r="BB92" s="394">
        <f t="shared" si="257"/>
        <v>66.048000000000002</v>
      </c>
      <c r="BC92" s="92">
        <f>BC62*BC160</f>
        <v>75.921999999999997</v>
      </c>
      <c r="BD92" s="92">
        <f>BE92-BA92-BB92-BC92</f>
        <v>71.216999999999985</v>
      </c>
      <c r="BE92" s="989">
        <f t="shared" si="258"/>
        <v>266.20</v>
      </c>
      <c r="BF92" s="92">
        <f t="shared" si="258"/>
        <v>62.02</v>
      </c>
      <c r="BG92" s="394">
        <f t="shared" si="259"/>
        <v>71.977999999999994</v>
      </c>
      <c r="BH92" s="464">
        <f t="shared" si="259"/>
        <v>110.048</v>
      </c>
      <c r="BI92" s="92">
        <f>+BI62*BI160</f>
        <v>52.675</v>
      </c>
      <c r="BJ92" s="1004">
        <f>SUM(BF92,BG92,BH92,BI92)</f>
        <v>296.721</v>
      </c>
      <c r="BK92" s="92">
        <f>+BK62*BK160</f>
        <v>52.675</v>
      </c>
      <c r="BL92" s="92">
        <f>+BL62*BL160</f>
        <v>52.675</v>
      </c>
      <c r="BM92" s="92">
        <f>+BM62*BM160</f>
        <v>52.675</v>
      </c>
      <c r="BN92" s="92">
        <f>+BN62*BN160</f>
        <v>52.675</v>
      </c>
      <c r="BO92" s="1004">
        <f>SUM(BK92,BL92,BM92,BN92)</f>
        <v>210.70</v>
      </c>
      <c r="BP92" s="1004">
        <f>+BP62*BP160</f>
        <v>210.70</v>
      </c>
      <c r="BQ92" s="1004">
        <f>+BQ62*BQ160</f>
        <v>210.70</v>
      </c>
      <c r="BR92" s="1004">
        <f>+BR62*BR160</f>
        <v>210.70</v>
      </c>
      <c r="BS92" s="305"/>
    </row>
    <row r="93" spans="1:71" s="300" customFormat="1" ht="15">
      <c r="A93" s="575" t="s">
        <v>813</v>
      </c>
      <c r="B93" s="510"/>
      <c r="C93" s="992">
        <f>C63*C161</f>
        <v>18729.424999999999</v>
      </c>
      <c r="D93" s="992">
        <f t="shared" si="269" ref="D93:J93">D63*D161</f>
        <v>18921.195</v>
      </c>
      <c r="E93" s="992">
        <f t="shared" si="269"/>
        <v>20130.992000000002</v>
      </c>
      <c r="F93" s="992">
        <f t="shared" si="269"/>
        <v>18421.792999999998</v>
      </c>
      <c r="G93" s="992">
        <f t="shared" si="269"/>
        <v>17785.992000000002</v>
      </c>
      <c r="H93" s="116">
        <f t="shared" si="269"/>
        <v>4761.1360000000004</v>
      </c>
      <c r="I93" s="116">
        <f t="shared" si="269"/>
        <v>5136.4519999999993</v>
      </c>
      <c r="J93" s="116">
        <f t="shared" si="269"/>
        <v>4807.348</v>
      </c>
      <c r="K93" s="116">
        <f t="shared" si="270" ref="K93">L93-H93-I93-J93</f>
        <v>4618.9680000000026</v>
      </c>
      <c r="L93" s="992">
        <f>L63*L161</f>
        <v>19323.904000000002</v>
      </c>
      <c r="M93" s="116">
        <f>M63*M161</f>
        <v>4990.2719999999999</v>
      </c>
      <c r="N93" s="116">
        <f>N63*N161</f>
        <v>5586.26</v>
      </c>
      <c r="O93" s="116">
        <f>O63*O161</f>
        <v>5202</v>
      </c>
      <c r="P93" s="116">
        <f t="shared" si="271" ref="P93">Q93-M93-N93-O93</f>
        <v>5043.751000000002</v>
      </c>
      <c r="Q93" s="992">
        <f t="shared" si="249"/>
        <v>20822.283000000003</v>
      </c>
      <c r="R93" s="116">
        <f t="shared" si="249"/>
        <v>5578.88</v>
      </c>
      <c r="S93" s="579">
        <f t="shared" si="249"/>
        <v>5792.36</v>
      </c>
      <c r="T93" s="116">
        <f t="shared" si="249"/>
        <v>5349.2669999999998</v>
      </c>
      <c r="U93" s="116">
        <f t="shared" si="261"/>
        <v>5157.1169999999984</v>
      </c>
      <c r="V93" s="992">
        <f t="shared" si="250"/>
        <v>21877.624</v>
      </c>
      <c r="W93" s="116">
        <f t="shared" si="250"/>
        <v>5322.674</v>
      </c>
      <c r="X93" s="579">
        <f t="shared" si="250"/>
        <v>5605.4259999999995</v>
      </c>
      <c r="Y93" s="116">
        <f t="shared" si="250"/>
        <v>5353.4880000000003</v>
      </c>
      <c r="Z93" s="116">
        <f t="shared" si="262"/>
        <v>5187.1510000000026</v>
      </c>
      <c r="AA93" s="992">
        <f t="shared" si="251"/>
        <v>21468.739000000001</v>
      </c>
      <c r="AB93" s="116">
        <f t="shared" si="251"/>
        <v>5035.9319999999998</v>
      </c>
      <c r="AC93" s="579">
        <f t="shared" si="251"/>
        <v>5683.1659999999993</v>
      </c>
      <c r="AD93" s="116">
        <f t="shared" si="251"/>
        <v>5632.64</v>
      </c>
      <c r="AE93" s="116">
        <f t="shared" si="263"/>
        <v>5988.3620000000019</v>
      </c>
      <c r="AF93" s="992">
        <f t="shared" si="252"/>
        <v>22340.100000000002</v>
      </c>
      <c r="AG93" s="116">
        <f t="shared" si="252"/>
        <v>5725.2110000000002</v>
      </c>
      <c r="AH93" s="579">
        <f t="shared" si="252"/>
        <v>6267.6819999999998</v>
      </c>
      <c r="AI93" s="116">
        <f t="shared" si="252"/>
        <v>5866.3760000000002</v>
      </c>
      <c r="AJ93" s="116">
        <f t="shared" si="264"/>
        <v>5659.7560000000012</v>
      </c>
      <c r="AK93" s="992">
        <f t="shared" si="253"/>
        <v>23519.025000000001</v>
      </c>
      <c r="AL93" s="116">
        <f t="shared" si="253"/>
        <v>5248.6709999999994</v>
      </c>
      <c r="AM93" s="579">
        <f t="shared" si="253"/>
        <v>5140.54</v>
      </c>
      <c r="AN93" s="116">
        <f t="shared" si="253"/>
        <v>5836.7040000000006</v>
      </c>
      <c r="AO93" s="116">
        <f t="shared" si="265"/>
        <v>5268.2120000000004</v>
      </c>
      <c r="AP93" s="992">
        <f t="shared" si="254"/>
        <v>21494.127</v>
      </c>
      <c r="AQ93" s="116">
        <f t="shared" si="254"/>
        <v>5937.60</v>
      </c>
      <c r="AR93" s="579">
        <f t="shared" si="254"/>
        <v>7106.3899999999994</v>
      </c>
      <c r="AS93" s="116">
        <f t="shared" si="254"/>
        <v>8025.6100000000006</v>
      </c>
      <c r="AT93" s="116">
        <f t="shared" si="266"/>
        <v>7693.1939999999995</v>
      </c>
      <c r="AU93" s="992">
        <f t="shared" si="255"/>
        <v>28762.793999999998</v>
      </c>
      <c r="AV93" s="116">
        <f t="shared" si="255"/>
        <v>7695.0339999999997</v>
      </c>
      <c r="AW93" s="579">
        <f t="shared" si="255"/>
        <v>9232.0259999999998</v>
      </c>
      <c r="AX93" s="116">
        <f t="shared" si="255"/>
        <v>9818.16</v>
      </c>
      <c r="AY93" s="239">
        <f t="shared" si="267"/>
        <v>9830.9770000000026</v>
      </c>
      <c r="AZ93" s="994">
        <f t="shared" si="272" ref="AZ93">AZ63*AZ161</f>
        <v>36576.197</v>
      </c>
      <c r="BA93" s="116">
        <f t="shared" si="257"/>
        <v>10180.625</v>
      </c>
      <c r="BB93" s="579">
        <f t="shared" si="257"/>
        <v>11563.369999999999</v>
      </c>
      <c r="BC93" s="116">
        <f>BC63*BC161</f>
        <v>10000.049999999999</v>
      </c>
      <c r="BD93" s="239">
        <f>BE93-BA93-BB93-BC93</f>
        <v>8595.6460000000006</v>
      </c>
      <c r="BE93" s="994">
        <f t="shared" si="258"/>
        <v>40339.690999999999</v>
      </c>
      <c r="BF93" s="116">
        <f t="shared" si="258"/>
        <v>9339.60</v>
      </c>
      <c r="BG93" s="579">
        <f t="shared" si="259"/>
        <v>10644.522000000001</v>
      </c>
      <c r="BH93" s="741">
        <f t="shared" si="259"/>
        <v>10188.335999999999</v>
      </c>
      <c r="BI93" s="239">
        <f t="shared" si="273" ref="BI93:BR93">SUM(BI73,BI79,BI85,BI91,BI92)</f>
        <v>9289.8632949999992</v>
      </c>
      <c r="BJ93" s="1005">
        <f t="shared" si="273"/>
        <v>39465.603294999994</v>
      </c>
      <c r="BK93" s="239">
        <f t="shared" si="273"/>
        <v>9711.4254519999995</v>
      </c>
      <c r="BL93" s="239">
        <f t="shared" si="273"/>
        <v>11333.776039000002</v>
      </c>
      <c r="BM93" s="239">
        <f t="shared" si="273"/>
        <v>11238.498964</v>
      </c>
      <c r="BN93" s="239">
        <f t="shared" si="273"/>
        <v>9835.6830631499997</v>
      </c>
      <c r="BO93" s="1005">
        <f t="shared" si="273"/>
        <v>42119.383518149996</v>
      </c>
      <c r="BP93" s="1005">
        <f t="shared" si="273"/>
        <v>41559.9525861535</v>
      </c>
      <c r="BQ93" s="1005">
        <f t="shared" si="273"/>
        <v>42678.212540699758</v>
      </c>
      <c r="BR93" s="1005">
        <f t="shared" si="273"/>
        <v>43952.237916920749</v>
      </c>
      <c r="BS93" s="305"/>
    </row>
    <row r="94" spans="1:71" s="300" customFormat="1" ht="15">
      <c r="A94" s="566" t="s">
        <v>752</v>
      </c>
      <c r="B94" s="113"/>
      <c r="C94" s="990">
        <v>24</v>
      </c>
      <c r="D94" s="990">
        <v>28</v>
      </c>
      <c r="E94" s="990">
        <v>21</v>
      </c>
      <c r="F94" s="990">
        <v>51</v>
      </c>
      <c r="G94" s="990">
        <v>142</v>
      </c>
      <c r="H94" s="900">
        <v>3</v>
      </c>
      <c r="I94" s="900">
        <v>2</v>
      </c>
      <c r="J94" s="900">
        <v>105</v>
      </c>
      <c r="K94" s="900">
        <v>3</v>
      </c>
      <c r="L94" s="990">
        <v>113</v>
      </c>
      <c r="M94" s="900">
        <v>1</v>
      </c>
      <c r="N94" s="900">
        <v>2</v>
      </c>
      <c r="O94" s="900">
        <v>48</v>
      </c>
      <c r="P94" s="900">
        <v>2</v>
      </c>
      <c r="Q94" s="990">
        <v>53</v>
      </c>
      <c r="R94" s="900">
        <v>1</v>
      </c>
      <c r="S94" s="900">
        <v>2</v>
      </c>
      <c r="T94" s="900">
        <v>99</v>
      </c>
      <c r="U94" s="900">
        <v>3</v>
      </c>
      <c r="V94" s="990">
        <v>105</v>
      </c>
      <c r="W94" s="900">
        <v>2</v>
      </c>
      <c r="X94" s="900">
        <v>3</v>
      </c>
      <c r="Y94" s="900">
        <v>88</v>
      </c>
      <c r="Z94" s="900">
        <v>3</v>
      </c>
      <c r="AA94" s="990">
        <v>96</v>
      </c>
      <c r="AB94" s="900">
        <v>3</v>
      </c>
      <c r="AC94" s="900">
        <v>2</v>
      </c>
      <c r="AD94" s="900">
        <v>80</v>
      </c>
      <c r="AE94" s="900">
        <v>2</v>
      </c>
      <c r="AF94" s="990">
        <v>87</v>
      </c>
      <c r="AG94" s="900">
        <v>2</v>
      </c>
      <c r="AH94" s="900">
        <v>3</v>
      </c>
      <c r="AI94" s="900">
        <v>98</v>
      </c>
      <c r="AJ94" s="900">
        <v>2</v>
      </c>
      <c r="AK94" s="990">
        <v>105</v>
      </c>
      <c r="AL94" s="900">
        <v>2</v>
      </c>
      <c r="AM94" s="900">
        <v>2</v>
      </c>
      <c r="AN94" s="900">
        <v>135</v>
      </c>
      <c r="AO94" s="900">
        <v>2</v>
      </c>
      <c r="AP94" s="990">
        <v>141</v>
      </c>
      <c r="AQ94" s="900">
        <v>1</v>
      </c>
      <c r="AR94" s="900">
        <v>1</v>
      </c>
      <c r="AS94" s="900">
        <v>113</v>
      </c>
      <c r="AT94" s="115">
        <f t="shared" si="266"/>
        <v>1</v>
      </c>
      <c r="AU94" s="990">
        <v>116</v>
      </c>
      <c r="AV94" s="900">
        <v>1</v>
      </c>
      <c r="AW94" s="900">
        <v>3</v>
      </c>
      <c r="AX94" s="900">
        <v>120</v>
      </c>
      <c r="AY94" s="115">
        <f>AZ94-AV94-AW94-AX94</f>
        <v>1</v>
      </c>
      <c r="AZ94" s="990">
        <v>125</v>
      </c>
      <c r="BA94" s="900">
        <v>2</v>
      </c>
      <c r="BB94" s="900">
        <v>1</v>
      </c>
      <c r="BC94" s="900">
        <v>82</v>
      </c>
      <c r="BD94" s="115">
        <f>BE94-SUM(BA94,BB94,BC94)</f>
        <v>4</v>
      </c>
      <c r="BE94" s="990">
        <v>89</v>
      </c>
      <c r="BF94" s="893">
        <v>4</v>
      </c>
      <c r="BG94" s="900">
        <v>2</v>
      </c>
      <c r="BH94" s="901">
        <v>59</v>
      </c>
      <c r="BI94" s="900">
        <v>0</v>
      </c>
      <c r="BJ94" s="995">
        <f>SUM(BF94,BG94,BH94,BI94)</f>
        <v>65</v>
      </c>
      <c r="BK94" s="900">
        <v>0</v>
      </c>
      <c r="BL94" s="900">
        <v>0</v>
      </c>
      <c r="BM94" s="900">
        <v>0</v>
      </c>
      <c r="BN94" s="900">
        <v>0</v>
      </c>
      <c r="BO94" s="995">
        <f>SUM(BK94,BL94,BM94,BN94)</f>
        <v>0</v>
      </c>
      <c r="BP94" s="990">
        <v>0</v>
      </c>
      <c r="BQ94" s="990">
        <v>0</v>
      </c>
      <c r="BR94" s="990">
        <v>0</v>
      </c>
      <c r="BS94" s="305"/>
    </row>
    <row r="95" spans="1:71" s="51" customFormat="1" ht="15">
      <c r="A95" s="389" t="s">
        <v>549</v>
      </c>
      <c r="B95" s="391"/>
      <c r="C95" s="999">
        <f t="shared" si="274" ref="C95:AU95">SUM(C93,C94)</f>
        <v>18753.424999999999</v>
      </c>
      <c r="D95" s="999">
        <f t="shared" si="274"/>
        <v>18949.195</v>
      </c>
      <c r="E95" s="999">
        <f t="shared" si="274"/>
        <v>20151.992000000002</v>
      </c>
      <c r="F95" s="999">
        <f t="shared" si="274"/>
        <v>18472.792999999998</v>
      </c>
      <c r="G95" s="999">
        <f t="shared" si="274"/>
        <v>17927.992000000002</v>
      </c>
      <c r="H95" s="57">
        <f t="shared" si="274"/>
        <v>4764.1360000000004</v>
      </c>
      <c r="I95" s="57">
        <f t="shared" si="274"/>
        <v>5138.4519999999993</v>
      </c>
      <c r="J95" s="57">
        <f t="shared" si="274"/>
        <v>4912.348</v>
      </c>
      <c r="K95" s="57">
        <f t="shared" si="274"/>
        <v>4621.9680000000026</v>
      </c>
      <c r="L95" s="999">
        <f t="shared" si="274"/>
        <v>19436.904000000002</v>
      </c>
      <c r="M95" s="57">
        <f t="shared" si="274"/>
        <v>4991.2719999999999</v>
      </c>
      <c r="N95" s="57">
        <f t="shared" si="274"/>
        <v>5588.26</v>
      </c>
      <c r="O95" s="57">
        <f t="shared" si="274"/>
        <v>5250</v>
      </c>
      <c r="P95" s="57">
        <f t="shared" si="274"/>
        <v>5045.751000000002</v>
      </c>
      <c r="Q95" s="999">
        <f t="shared" si="274"/>
        <v>20875.283000000003</v>
      </c>
      <c r="R95" s="57">
        <f t="shared" si="274"/>
        <v>5579.88</v>
      </c>
      <c r="S95" s="57">
        <f t="shared" si="274"/>
        <v>5794.36</v>
      </c>
      <c r="T95" s="57">
        <f t="shared" si="274"/>
        <v>5448.2669999999998</v>
      </c>
      <c r="U95" s="57">
        <f t="shared" si="274"/>
        <v>5160.1169999999984</v>
      </c>
      <c r="V95" s="999">
        <f t="shared" si="274"/>
        <v>21982.624</v>
      </c>
      <c r="W95" s="57">
        <f t="shared" si="274"/>
        <v>5324.674</v>
      </c>
      <c r="X95" s="57">
        <f t="shared" si="274"/>
        <v>5608.4259999999995</v>
      </c>
      <c r="Y95" s="57">
        <f t="shared" si="274"/>
        <v>5441.4880000000003</v>
      </c>
      <c r="Z95" s="57">
        <f t="shared" si="274"/>
        <v>5190.1510000000026</v>
      </c>
      <c r="AA95" s="999">
        <f t="shared" si="274"/>
        <v>21564.739000000001</v>
      </c>
      <c r="AB95" s="57">
        <f t="shared" si="274"/>
        <v>5038.9319999999998</v>
      </c>
      <c r="AC95" s="57">
        <f t="shared" si="274"/>
        <v>5685.1659999999993</v>
      </c>
      <c r="AD95" s="57">
        <f t="shared" si="274"/>
        <v>5712.64</v>
      </c>
      <c r="AE95" s="57">
        <f t="shared" si="274"/>
        <v>5990.3620000000019</v>
      </c>
      <c r="AF95" s="999">
        <f t="shared" si="274"/>
        <v>22427.100000000002</v>
      </c>
      <c r="AG95" s="57">
        <f t="shared" si="274"/>
        <v>5727.2110000000002</v>
      </c>
      <c r="AH95" s="57">
        <f t="shared" si="274"/>
        <v>6270.6819999999998</v>
      </c>
      <c r="AI95" s="57">
        <f t="shared" si="274"/>
        <v>5964.3760000000002</v>
      </c>
      <c r="AJ95" s="57">
        <f t="shared" si="274"/>
        <v>5661.7560000000012</v>
      </c>
      <c r="AK95" s="999">
        <f t="shared" si="274"/>
        <v>23624.025000000001</v>
      </c>
      <c r="AL95" s="57">
        <f t="shared" si="274"/>
        <v>5250.6709999999994</v>
      </c>
      <c r="AM95" s="57">
        <f t="shared" si="274"/>
        <v>5142.54</v>
      </c>
      <c r="AN95" s="57">
        <f t="shared" si="274"/>
        <v>5971.7040000000006</v>
      </c>
      <c r="AO95" s="57">
        <f t="shared" si="274"/>
        <v>5270.2120000000004</v>
      </c>
      <c r="AP95" s="999">
        <f t="shared" si="274"/>
        <v>21635.127</v>
      </c>
      <c r="AQ95" s="57">
        <f t="shared" si="274"/>
        <v>5938.60</v>
      </c>
      <c r="AR95" s="57">
        <f t="shared" si="274"/>
        <v>7107.3899999999994</v>
      </c>
      <c r="AS95" s="57">
        <f t="shared" si="274"/>
        <v>8138.6100000000006</v>
      </c>
      <c r="AT95" s="57">
        <f t="shared" si="274"/>
        <v>7694.1939999999995</v>
      </c>
      <c r="AU95" s="999">
        <f t="shared" si="274"/>
        <v>28878.793999999998</v>
      </c>
      <c r="AV95" s="57">
        <f t="shared" si="275" ref="AV95:AZ95">SUM(AV93,AV94)</f>
        <v>7696.0339999999997</v>
      </c>
      <c r="AW95" s="57">
        <f t="shared" si="275"/>
        <v>9235.0259999999998</v>
      </c>
      <c r="AX95" s="57">
        <f t="shared" si="275"/>
        <v>9938.16</v>
      </c>
      <c r="AY95" s="128">
        <f t="shared" si="275"/>
        <v>9831.9770000000026</v>
      </c>
      <c r="AZ95" s="1000">
        <f t="shared" si="275"/>
        <v>36701.197</v>
      </c>
      <c r="BA95" s="57">
        <f t="shared" si="276" ref="BA95:BR95">SUM(BA93,BA94)</f>
        <v>10182.625</v>
      </c>
      <c r="BB95" s="57">
        <f t="shared" si="276"/>
        <v>11564.369999999999</v>
      </c>
      <c r="BC95" s="57">
        <f t="shared" si="276"/>
        <v>10082.049999999999</v>
      </c>
      <c r="BD95" s="57">
        <f t="shared" si="276"/>
        <v>8599.6460000000006</v>
      </c>
      <c r="BE95" s="999">
        <f t="shared" si="276"/>
        <v>40428.690999999999</v>
      </c>
      <c r="BF95" s="57">
        <f t="shared" si="276"/>
        <v>9343.60</v>
      </c>
      <c r="BG95" s="57">
        <f>SUM(BG93,BG94)</f>
        <v>10646.522000000001</v>
      </c>
      <c r="BH95" s="745">
        <f>SUM(BH93,BH94)</f>
        <v>10247.335999999999</v>
      </c>
      <c r="BI95" s="128">
        <f t="shared" si="276"/>
        <v>9289.8632949999992</v>
      </c>
      <c r="BJ95" s="1000">
        <f t="shared" si="276"/>
        <v>39530.603294999994</v>
      </c>
      <c r="BK95" s="128">
        <f t="shared" si="276"/>
        <v>9711.4254519999995</v>
      </c>
      <c r="BL95" s="128">
        <f t="shared" si="276"/>
        <v>11333.776039000002</v>
      </c>
      <c r="BM95" s="128">
        <f t="shared" si="276"/>
        <v>11238.498964</v>
      </c>
      <c r="BN95" s="128">
        <f t="shared" si="276"/>
        <v>9835.6830631499997</v>
      </c>
      <c r="BO95" s="1000">
        <f t="shared" si="276"/>
        <v>42119.383518149996</v>
      </c>
      <c r="BP95" s="1000">
        <f t="shared" si="276"/>
        <v>41559.9525861535</v>
      </c>
      <c r="BQ95" s="1000">
        <f t="shared" si="276"/>
        <v>42678.212540699758</v>
      </c>
      <c r="BR95" s="1000">
        <f t="shared" si="276"/>
        <v>43952.237916920749</v>
      </c>
      <c r="BS95" s="57"/>
    </row>
    <row r="96" spans="1:71" s="51" customFormat="1" ht="15" hidden="1" outlineLevel="1">
      <c r="A96" s="389" t="s">
        <v>902</v>
      </c>
      <c r="B96" s="391"/>
      <c r="C96" s="1000"/>
      <c r="D96" s="1000"/>
      <c r="E96" s="1000"/>
      <c r="F96" s="1000"/>
      <c r="G96" s="1000"/>
      <c r="H96" s="128"/>
      <c r="I96" s="128"/>
      <c r="J96" s="128"/>
      <c r="K96" s="128"/>
      <c r="L96" s="1000"/>
      <c r="M96" s="128"/>
      <c r="N96" s="128"/>
      <c r="O96" s="128"/>
      <c r="P96" s="128"/>
      <c r="Q96" s="999">
        <f>Q68+Q74+Q80+Q86+Q92+Q94</f>
        <v>19330.917000000001</v>
      </c>
      <c r="R96" s="57">
        <f t="shared" si="277" ref="R96:BJ96">R68+R74+R80+R86+R92+R94</f>
        <v>4779.7119999999995</v>
      </c>
      <c r="S96" s="57">
        <f t="shared" si="277"/>
        <v>4870.5299999999997</v>
      </c>
      <c r="T96" s="57">
        <f t="shared" si="277"/>
        <v>5006.7800000000007</v>
      </c>
      <c r="U96" s="57">
        <f t="shared" si="277"/>
        <v>4852.8240000000005</v>
      </c>
      <c r="V96" s="999">
        <f t="shared" si="277"/>
        <v>19509.846000000001</v>
      </c>
      <c r="W96" s="57">
        <f t="shared" si="277"/>
        <v>4635.7610000000013</v>
      </c>
      <c r="X96" s="57">
        <f t="shared" si="277"/>
        <v>4718.2619999999997</v>
      </c>
      <c r="Y96" s="57">
        <f t="shared" si="277"/>
        <v>4815.8279999999995</v>
      </c>
      <c r="Z96" s="57">
        <f t="shared" si="277"/>
        <v>4788.4659999999976</v>
      </c>
      <c r="AA96" s="999">
        <f t="shared" si="277"/>
        <v>18958.316999999999</v>
      </c>
      <c r="AB96" s="57">
        <f t="shared" si="277"/>
        <v>4724.7250000000004</v>
      </c>
      <c r="AC96" s="57">
        <f t="shared" si="277"/>
        <v>4841.527</v>
      </c>
      <c r="AD96" s="57">
        <f t="shared" si="277"/>
        <v>5160.451</v>
      </c>
      <c r="AE96" s="57">
        <f t="shared" si="277"/>
        <v>5178.0189999999984</v>
      </c>
      <c r="AF96" s="999">
        <f t="shared" si="277"/>
        <v>19904.721999999998</v>
      </c>
      <c r="AG96" s="57">
        <f t="shared" si="277"/>
        <v>4980.0519999999997</v>
      </c>
      <c r="AH96" s="57">
        <f t="shared" si="277"/>
        <v>5284.0479999999998</v>
      </c>
      <c r="AI96" s="57">
        <f t="shared" si="277"/>
        <v>5591.9880000000003</v>
      </c>
      <c r="AJ96" s="57">
        <f t="shared" si="277"/>
        <v>5407.8139999999994</v>
      </c>
      <c r="AK96" s="999">
        <f t="shared" si="277"/>
        <v>21263.902000000002</v>
      </c>
      <c r="AL96" s="57">
        <f t="shared" si="277"/>
        <v>5054.121000000001</v>
      </c>
      <c r="AM96" s="57">
        <f t="shared" si="277"/>
        <v>3944.1059999999998</v>
      </c>
      <c r="AN96" s="57">
        <f t="shared" si="277"/>
        <v>6056.1779999999999</v>
      </c>
      <c r="AO96" s="57">
        <f t="shared" si="277"/>
        <v>4792.6089999999995</v>
      </c>
      <c r="AP96" s="999">
        <f t="shared" si="277"/>
        <v>19847.013999999996</v>
      </c>
      <c r="AQ96" s="57">
        <f t="shared" si="277"/>
        <v>5837.9319999999989</v>
      </c>
      <c r="AR96" s="57">
        <f t="shared" si="277"/>
        <v>6102.8240000000005</v>
      </c>
      <c r="AS96" s="57">
        <f t="shared" si="277"/>
        <v>6832.5820000000003</v>
      </c>
      <c r="AT96" s="57">
        <f t="shared" si="277"/>
        <v>6965.1719999999959</v>
      </c>
      <c r="AU96" s="999">
        <f t="shared" si="277"/>
        <v>25738.509999999998</v>
      </c>
      <c r="AV96" s="57">
        <f t="shared" si="277"/>
        <v>7107.4029999999993</v>
      </c>
      <c r="AW96" s="57">
        <f t="shared" si="277"/>
        <v>7615.9019999999991</v>
      </c>
      <c r="AX96" s="57">
        <f t="shared" si="277"/>
        <v>8469.3979999999992</v>
      </c>
      <c r="AY96" s="128">
        <f t="shared" si="277"/>
        <v>8832.7589999999946</v>
      </c>
      <c r="AZ96" s="1000">
        <f t="shared" si="277"/>
        <v>32025.462</v>
      </c>
      <c r="BA96" s="57">
        <f t="shared" si="278" ref="BA96:BI96">BA68+BA74+BA80+BA86+BA92+BA94</f>
        <v>8555.0530000000017</v>
      </c>
      <c r="BB96" s="57">
        <f t="shared" si="278"/>
        <v>8658.5869999999995</v>
      </c>
      <c r="BC96" s="57">
        <f t="shared" si="278"/>
        <v>8786.1319999999996</v>
      </c>
      <c r="BD96" s="128">
        <f t="shared" si="278"/>
        <v>8482.4459999999999</v>
      </c>
      <c r="BE96" s="1000">
        <f t="shared" si="278"/>
        <v>34482.217999999986</v>
      </c>
      <c r="BF96" s="57">
        <f>BF68+BF74+BF80+BF86+BF92+BF94</f>
        <v>8941.773000000001</v>
      </c>
      <c r="BG96" s="57">
        <f>BG68+BG74+BG80+BG86+BG92+BG94</f>
        <v>8889.7299999999996</v>
      </c>
      <c r="BH96" s="745">
        <f>BH68+BH74+BH80+BH86+BH92+BH94</f>
        <v>8599.1669999999995</v>
      </c>
      <c r="BI96" s="128">
        <f t="shared" si="278"/>
        <v>8687.5392999999985</v>
      </c>
      <c r="BJ96" s="1000">
        <f t="shared" si="277"/>
        <v>35118.209300000002</v>
      </c>
      <c r="BK96" s="128">
        <f t="shared" si="279" ref="BK96:BR96">BK68+BK74+BK80+BK86+BK92+BK94</f>
        <v>9099.0177699999986</v>
      </c>
      <c r="BL96" s="128">
        <f t="shared" si="279"/>
        <v>10554.408280000001</v>
      </c>
      <c r="BM96" s="128">
        <f t="shared" si="279"/>
        <v>10425.360640000003</v>
      </c>
      <c r="BN96" s="128">
        <f t="shared" si="279"/>
        <v>9203.6669340000008</v>
      </c>
      <c r="BO96" s="1000">
        <f t="shared" si="279"/>
        <v>39282.453624000002</v>
      </c>
      <c r="BP96" s="1000">
        <f t="shared" si="279"/>
        <v>38627.059654225006</v>
      </c>
      <c r="BQ96" s="1000">
        <f t="shared" si="279"/>
        <v>39683.350153651751</v>
      </c>
      <c r="BR96" s="1000">
        <f t="shared" si="279"/>
        <v>40867.529658261308</v>
      </c>
      <c r="BS96" s="57"/>
    </row>
    <row r="97" spans="1:71" s="51" customFormat="1" ht="15" collapsed="1">
      <c r="A97" s="390"/>
      <c r="B97" s="391"/>
      <c r="C97" s="1000"/>
      <c r="D97" s="1000"/>
      <c r="E97" s="1000"/>
      <c r="F97" s="1000"/>
      <c r="G97" s="1000"/>
      <c r="H97" s="128"/>
      <c r="I97" s="128"/>
      <c r="J97" s="128"/>
      <c r="K97" s="128"/>
      <c r="L97" s="1000"/>
      <c r="M97" s="128"/>
      <c r="N97" s="128"/>
      <c r="O97" s="128"/>
      <c r="P97" s="128"/>
      <c r="Q97" s="1000"/>
      <c r="R97" s="128"/>
      <c r="S97" s="128"/>
      <c r="T97" s="128"/>
      <c r="U97" s="128"/>
      <c r="V97" s="1000"/>
      <c r="W97" s="128"/>
      <c r="X97" s="128"/>
      <c r="Y97" s="128"/>
      <c r="Z97" s="128"/>
      <c r="AA97" s="1000"/>
      <c r="AB97" s="128"/>
      <c r="AC97" s="128"/>
      <c r="AD97" s="128"/>
      <c r="AE97" s="128"/>
      <c r="AF97" s="1000"/>
      <c r="AG97" s="128"/>
      <c r="AH97" s="128"/>
      <c r="AI97" s="128"/>
      <c r="AJ97" s="128"/>
      <c r="AK97" s="1000"/>
      <c r="AL97" s="128"/>
      <c r="AM97" s="128"/>
      <c r="AN97" s="128"/>
      <c r="AO97" s="128"/>
      <c r="AP97" s="1000"/>
      <c r="AQ97" s="128"/>
      <c r="AR97" s="128"/>
      <c r="AS97" s="128"/>
      <c r="AT97" s="128"/>
      <c r="AU97" s="1000"/>
      <c r="AV97" s="128"/>
      <c r="AW97" s="128"/>
      <c r="AX97" s="128"/>
      <c r="AY97" s="128"/>
      <c r="AZ97" s="1000"/>
      <c r="BA97" s="128"/>
      <c r="BB97" s="128"/>
      <c r="BC97" s="128"/>
      <c r="BD97" s="128"/>
      <c r="BE97" s="1000"/>
      <c r="BF97" s="128"/>
      <c r="BG97" s="128"/>
      <c r="BH97" s="465"/>
      <c r="BI97" s="128"/>
      <c r="BJ97" s="1000"/>
      <c r="BK97" s="128"/>
      <c r="BL97" s="128"/>
      <c r="BM97" s="128"/>
      <c r="BN97" s="128"/>
      <c r="BO97" s="1000"/>
      <c r="BP97" s="1000"/>
      <c r="BQ97" s="1000"/>
      <c r="BR97" s="1000"/>
      <c r="BS97" s="57"/>
    </row>
    <row r="98" spans="1:71" s="565" customFormat="1" ht="15">
      <c r="A98" s="233" t="s">
        <v>786</v>
      </c>
      <c r="B98" s="563"/>
      <c r="C98" s="1006">
        <f t="shared" si="280" ref="C98:C103">C58*C164</f>
        <v>0</v>
      </c>
      <c r="D98" s="1006"/>
      <c r="E98" s="1006"/>
      <c r="F98" s="1006"/>
      <c r="G98" s="1006"/>
      <c r="H98" s="111"/>
      <c r="I98" s="111"/>
      <c r="J98" s="111"/>
      <c r="K98" s="92"/>
      <c r="L98" s="1006"/>
      <c r="M98" s="111"/>
      <c r="N98" s="111"/>
      <c r="O98" s="111"/>
      <c r="P98" s="92"/>
      <c r="Q98" s="1006">
        <f t="shared" si="281" ref="Q98:T103">Q58*Q164</f>
        <v>5143.3199999999997</v>
      </c>
      <c r="R98" s="111">
        <f t="shared" si="281"/>
        <v>1273.6800000000001</v>
      </c>
      <c r="S98" s="111">
        <f t="shared" si="281"/>
        <v>1321.194</v>
      </c>
      <c r="T98" s="111">
        <f t="shared" si="281"/>
        <v>1290.0729999999999</v>
      </c>
      <c r="U98" s="92">
        <f>V98-R98-S98-T98</f>
        <v>1345.9969999999994</v>
      </c>
      <c r="V98" s="1006">
        <f t="shared" si="282" ref="V98:Y103">V58*V164</f>
        <v>5230.9439999999995</v>
      </c>
      <c r="W98" s="111">
        <f t="shared" si="282"/>
        <v>1314.672</v>
      </c>
      <c r="X98" s="111">
        <f t="shared" si="282"/>
        <v>1375.8140000000001</v>
      </c>
      <c r="Y98" s="111">
        <f t="shared" si="282"/>
        <v>1380.751</v>
      </c>
      <c r="Z98" s="92">
        <f>AA98-W98-X98-Y98</f>
        <v>1442.0190000000005</v>
      </c>
      <c r="AA98" s="1006">
        <f t="shared" si="283" ref="AA98:AD103">AA58*AA164</f>
        <v>5513.2560000000003</v>
      </c>
      <c r="AB98" s="111">
        <f t="shared" si="283"/>
        <v>1392.1590000000001</v>
      </c>
      <c r="AC98" s="111">
        <f t="shared" si="283"/>
        <v>1466.185</v>
      </c>
      <c r="AD98" s="111">
        <f t="shared" si="283"/>
        <v>1478.49</v>
      </c>
      <c r="AE98" s="92">
        <f>AF98-AB98-AC98-AD98</f>
        <v>1497.5459999999996</v>
      </c>
      <c r="AF98" s="1006">
        <f t="shared" si="284" ref="AF98:AI103">AF58*AF164</f>
        <v>5834.38</v>
      </c>
      <c r="AG98" s="111">
        <f t="shared" si="284"/>
        <v>1476.57</v>
      </c>
      <c r="AH98" s="111">
        <f t="shared" si="284"/>
        <v>1460.47</v>
      </c>
      <c r="AI98" s="111">
        <f t="shared" si="284"/>
        <v>1471.36</v>
      </c>
      <c r="AJ98" s="92">
        <f>AK98-AG98-AH98-AI98</f>
        <v>1590.2239999999999</v>
      </c>
      <c r="AK98" s="1006">
        <f t="shared" si="285" ref="AK98:AN103">AK58*AK164</f>
        <v>5998.6239999999998</v>
      </c>
      <c r="AL98" s="111">
        <f t="shared" si="285"/>
        <v>1668.005</v>
      </c>
      <c r="AM98" s="111">
        <f t="shared" si="285"/>
        <v>2209.576</v>
      </c>
      <c r="AN98" s="111">
        <f t="shared" si="285"/>
        <v>1595.97</v>
      </c>
      <c r="AO98" s="92">
        <f>AP98-AL98-AM98-AN98</f>
        <v>1548.8489999999995</v>
      </c>
      <c r="AP98" s="1006">
        <f t="shared" si="286" ref="AP98:AS103">AP58*AP164</f>
        <v>7022.40</v>
      </c>
      <c r="AQ98" s="111">
        <f t="shared" si="286"/>
        <v>1586.4970000000001</v>
      </c>
      <c r="AR98" s="111">
        <f t="shared" si="286"/>
        <v>1762.048</v>
      </c>
      <c r="AS98" s="111">
        <f t="shared" si="286"/>
        <v>1755.6480000000001</v>
      </c>
      <c r="AT98" s="92">
        <f t="shared" si="287" ref="AT98:AT104">AU98-AQ98-AR98-AS98</f>
        <v>1773.9340000000002</v>
      </c>
      <c r="AU98" s="1006">
        <f t="shared" si="288" ref="AU98:AX103">AU58*AU164</f>
        <v>6878.1270000000004</v>
      </c>
      <c r="AV98" s="111">
        <f t="shared" si="288"/>
        <v>1734.845</v>
      </c>
      <c r="AW98" s="111">
        <f t="shared" si="288"/>
        <v>1690.04</v>
      </c>
      <c r="AX98" s="111">
        <f t="shared" si="288"/>
        <v>1667.445</v>
      </c>
      <c r="AY98" s="92">
        <f t="shared" si="289" ref="AY98:AY104">AZ98-AV98-AW98-AX98</f>
        <v>1712.4050000000004</v>
      </c>
      <c r="AZ98" s="1006">
        <f t="shared" si="290" ref="AZ98:AZ101">AZ58*AZ164</f>
        <v>6804.7350000000006</v>
      </c>
      <c r="BA98" s="111">
        <f t="shared" si="291" ref="BA98:BA103">BA58*BA164</f>
        <v>1660.6799999999998</v>
      </c>
      <c r="BB98" s="111">
        <f t="shared" si="292" ref="BB98:BB103">BB58*BB164</f>
        <v>1656.684</v>
      </c>
      <c r="BC98" s="111">
        <f t="shared" si="293" ref="BC98:BC103">BC58*BC164</f>
        <v>1727.415</v>
      </c>
      <c r="BD98" s="305">
        <f t="shared" si="294" ref="BD98:BD103">BE98-BA98-BB98-BC98</f>
        <v>1740.860999999999</v>
      </c>
      <c r="BE98" s="1007">
        <f t="shared" si="295" ref="BE98:BG103">BE58*BE164</f>
        <v>6785.6399999999994</v>
      </c>
      <c r="BF98" s="304">
        <f t="shared" si="295"/>
        <v>1808.2679999999998</v>
      </c>
      <c r="BG98" s="111">
        <f t="shared" si="295"/>
        <v>1970.143</v>
      </c>
      <c r="BH98" s="802">
        <f t="shared" si="296" ref="BH98:BH103">BH58*BH164</f>
        <v>2122.83</v>
      </c>
      <c r="BI98" s="111">
        <f t="shared" si="297" ref="BI98:BI102">BI58*BI164</f>
        <v>2221.4297000000001</v>
      </c>
      <c r="BJ98" s="1006">
        <f>SUM(BF98,BG98,BH98,BI98)</f>
        <v>8122.6707000000006</v>
      </c>
      <c r="BK98" s="111">
        <f t="shared" si="298" ref="BK98:BN102">BK58*BK164</f>
        <v>2343.6477900000004</v>
      </c>
      <c r="BL98" s="111">
        <f t="shared" si="298"/>
        <v>2325.3634800000004</v>
      </c>
      <c r="BM98" s="111">
        <f t="shared" si="298"/>
        <v>2389.2333300000005</v>
      </c>
      <c r="BN98" s="111">
        <f t="shared" si="298"/>
        <v>2443.57267</v>
      </c>
      <c r="BO98" s="1006">
        <f>SUM(BK98,BL98,BM98,BN98)</f>
        <v>9501.8172700000014</v>
      </c>
      <c r="BP98" s="1006">
        <f t="shared" si="299" ref="BP98:BR102">BP58*BP164</f>
        <v>9436.6972002600032</v>
      </c>
      <c r="BQ98" s="1006">
        <f t="shared" si="299"/>
        <v>9719.7981162678025</v>
      </c>
      <c r="BR98" s="1006">
        <f t="shared" si="299"/>
        <v>10011.392059755835</v>
      </c>
      <c r="BS98" s="304"/>
    </row>
    <row r="99" spans="1:71" s="565" customFormat="1" ht="15">
      <c r="A99" s="233" t="s">
        <v>787</v>
      </c>
      <c r="B99" s="563"/>
      <c r="C99" s="1006">
        <f t="shared" si="280"/>
        <v>0</v>
      </c>
      <c r="D99" s="1006"/>
      <c r="E99" s="1006"/>
      <c r="F99" s="1006"/>
      <c r="G99" s="1006"/>
      <c r="H99" s="111"/>
      <c r="I99" s="111"/>
      <c r="J99" s="111"/>
      <c r="K99" s="92"/>
      <c r="L99" s="1006"/>
      <c r="M99" s="111"/>
      <c r="N99" s="111"/>
      <c r="O99" s="111"/>
      <c r="P99" s="92"/>
      <c r="Q99" s="1006">
        <f t="shared" si="281"/>
        <v>1684.096</v>
      </c>
      <c r="R99" s="111">
        <f t="shared" si="281"/>
        <v>423.54</v>
      </c>
      <c r="S99" s="111">
        <f t="shared" si="281"/>
        <v>433.785</v>
      </c>
      <c r="T99" s="111">
        <f t="shared" si="281"/>
        <v>440.55899999999997</v>
      </c>
      <c r="U99" s="92">
        <f t="shared" si="300" ref="U99:U103">V99-R99-S99-T99</f>
        <v>436.5390000000001</v>
      </c>
      <c r="V99" s="1006">
        <f t="shared" si="282"/>
        <v>1734.423</v>
      </c>
      <c r="W99" s="111">
        <f t="shared" si="282"/>
        <v>428.34</v>
      </c>
      <c r="X99" s="111">
        <f t="shared" si="282"/>
        <v>413.82</v>
      </c>
      <c r="Y99" s="111">
        <f t="shared" si="282"/>
        <v>441.512</v>
      </c>
      <c r="Z99" s="92">
        <f t="shared" si="301" ref="Z99:Z103">AA99-W99-X99-Y99</f>
        <v>456.10800000000012</v>
      </c>
      <c r="AA99" s="1006">
        <f t="shared" si="283"/>
        <v>1739.78</v>
      </c>
      <c r="AB99" s="111">
        <f t="shared" si="283"/>
        <v>436.12799999999999</v>
      </c>
      <c r="AC99" s="111">
        <f t="shared" si="283"/>
        <v>438.03999999999996</v>
      </c>
      <c r="AD99" s="111">
        <f t="shared" si="283"/>
        <v>468.96800000000002</v>
      </c>
      <c r="AE99" s="92">
        <f t="shared" si="302" ref="AE99:AE103">AF99-AB99-AC99-AD99</f>
        <v>475.97800000000012</v>
      </c>
      <c r="AF99" s="1006">
        <f t="shared" si="284"/>
        <v>1819.114</v>
      </c>
      <c r="AG99" s="111">
        <f t="shared" si="284"/>
        <v>452.79</v>
      </c>
      <c r="AH99" s="111">
        <f t="shared" si="284"/>
        <v>440.55</v>
      </c>
      <c r="AI99" s="111">
        <f t="shared" si="284"/>
        <v>463.30400000000003</v>
      </c>
      <c r="AJ99" s="92">
        <f t="shared" si="303" ref="AJ99:AJ103">AK99-AG99-AH99-AI99</f>
        <v>486.85200000000015</v>
      </c>
      <c r="AK99" s="1006">
        <f t="shared" si="285"/>
        <v>1843.4960000000001</v>
      </c>
      <c r="AL99" s="111">
        <f t="shared" si="285"/>
        <v>460.36200000000002</v>
      </c>
      <c r="AM99" s="111">
        <f t="shared" si="285"/>
        <v>451.88</v>
      </c>
      <c r="AN99" s="111">
        <f t="shared" si="285"/>
        <v>472.64400000000001</v>
      </c>
      <c r="AO99" s="92">
        <f t="shared" si="304" ref="AO99:AO103">AP99-AL99-AM99-AN99</f>
        <v>488.77200000000005</v>
      </c>
      <c r="AP99" s="1006">
        <f t="shared" si="286"/>
        <v>1873.6580000000001</v>
      </c>
      <c r="AQ99" s="111">
        <f t="shared" si="286"/>
        <v>571.68799999999999</v>
      </c>
      <c r="AR99" s="111">
        <f t="shared" si="286"/>
        <v>578.64</v>
      </c>
      <c r="AS99" s="111">
        <f t="shared" si="286"/>
        <v>633.02200000000005</v>
      </c>
      <c r="AT99" s="92">
        <f t="shared" si="287"/>
        <v>658.69199999999989</v>
      </c>
      <c r="AU99" s="1006">
        <f t="shared" si="288"/>
        <v>2442.0419999999999</v>
      </c>
      <c r="AV99" s="111">
        <f t="shared" si="288"/>
        <v>550.28999999999996</v>
      </c>
      <c r="AW99" s="111">
        <f t="shared" si="288"/>
        <v>590.18000000000006</v>
      </c>
      <c r="AX99" s="111">
        <f t="shared" si="288"/>
        <v>594.45000000000005</v>
      </c>
      <c r="AY99" s="92">
        <f t="shared" si="289"/>
        <v>609.13000000000011</v>
      </c>
      <c r="AZ99" s="1006">
        <f t="shared" si="290"/>
        <v>2344.0500000000002</v>
      </c>
      <c r="BA99" s="111">
        <f t="shared" si="291"/>
        <v>576.04999999999995</v>
      </c>
      <c r="BB99" s="111">
        <f t="shared" si="292"/>
        <v>585.24900000000002</v>
      </c>
      <c r="BC99" s="111">
        <f t="shared" si="293"/>
        <v>653.17999999999995</v>
      </c>
      <c r="BD99" s="305">
        <f t="shared" si="294"/>
        <v>697.6669999999998</v>
      </c>
      <c r="BE99" s="1007">
        <f t="shared" si="295"/>
        <v>2512.1459999999997</v>
      </c>
      <c r="BF99" s="304">
        <f t="shared" si="295"/>
        <v>687.572</v>
      </c>
      <c r="BG99" s="111">
        <f t="shared" si="295"/>
        <v>690.06</v>
      </c>
      <c r="BH99" s="802">
        <f t="shared" si="296"/>
        <v>745.25699999999995</v>
      </c>
      <c r="BI99" s="111">
        <f t="shared" si="297"/>
        <v>687.86003999999991</v>
      </c>
      <c r="BJ99" s="1006">
        <f>SUM(BF99,BG99,BH99,BI99)</f>
        <v>2810.7490400000002</v>
      </c>
      <c r="BK99" s="111">
        <f t="shared" si="298"/>
        <v>680.18957999999998</v>
      </c>
      <c r="BL99" s="111">
        <f t="shared" si="298"/>
        <v>909.99615000000006</v>
      </c>
      <c r="BM99" s="111">
        <f t="shared" si="298"/>
        <v>984.91249500000004</v>
      </c>
      <c r="BN99" s="111">
        <f t="shared" si="298"/>
        <v>722.25304199999994</v>
      </c>
      <c r="BO99" s="1006">
        <f>SUM(BK99,BL99,BM99,BN99)</f>
        <v>3297.351267</v>
      </c>
      <c r="BP99" s="1006">
        <f t="shared" si="299"/>
        <v>3466.89730233</v>
      </c>
      <c r="BQ99" s="1006">
        <f t="shared" si="299"/>
        <v>3534.8344817898001</v>
      </c>
      <c r="BR99" s="1006">
        <f t="shared" si="299"/>
        <v>3640.8795162434944</v>
      </c>
      <c r="BS99" s="304"/>
    </row>
    <row r="100" spans="1:71" s="565" customFormat="1" ht="15">
      <c r="A100" s="233" t="s">
        <v>788</v>
      </c>
      <c r="B100" s="563"/>
      <c r="C100" s="1006">
        <f t="shared" si="280"/>
        <v>0</v>
      </c>
      <c r="D100" s="1006"/>
      <c r="E100" s="1006"/>
      <c r="F100" s="1006"/>
      <c r="G100" s="1006"/>
      <c r="H100" s="111"/>
      <c r="I100" s="111"/>
      <c r="J100" s="111"/>
      <c r="K100" s="92"/>
      <c r="L100" s="1006"/>
      <c r="M100" s="111"/>
      <c r="N100" s="111"/>
      <c r="O100" s="111"/>
      <c r="P100" s="92"/>
      <c r="Q100" s="1006">
        <f t="shared" si="281"/>
        <v>453.45600000000002</v>
      </c>
      <c r="R100" s="111">
        <f t="shared" si="281"/>
        <v>111.14400000000001</v>
      </c>
      <c r="S100" s="111">
        <f t="shared" si="281"/>
        <v>114.05600000000001</v>
      </c>
      <c r="T100" s="111">
        <f t="shared" si="281"/>
        <v>120.98399999999999</v>
      </c>
      <c r="U100" s="92">
        <f t="shared" si="300"/>
        <v>124.71600000000002</v>
      </c>
      <c r="V100" s="1006">
        <f t="shared" si="282"/>
        <v>470.90</v>
      </c>
      <c r="W100" s="111">
        <f t="shared" si="282"/>
        <v>118.956</v>
      </c>
      <c r="X100" s="111">
        <f t="shared" si="282"/>
        <v>122.95199999999998</v>
      </c>
      <c r="Y100" s="111">
        <f t="shared" si="282"/>
        <v>127.749</v>
      </c>
      <c r="Z100" s="92">
        <f t="shared" si="301"/>
        <v>136.09299999999993</v>
      </c>
      <c r="AA100" s="1006">
        <f t="shared" si="283"/>
        <v>505.74999999999994</v>
      </c>
      <c r="AB100" s="111">
        <f t="shared" si="283"/>
        <v>119.88000000000001</v>
      </c>
      <c r="AC100" s="111">
        <f t="shared" si="283"/>
        <v>120.12</v>
      </c>
      <c r="AD100" s="111">
        <f t="shared" si="283"/>
        <v>127.85500000000002</v>
      </c>
      <c r="AE100" s="92">
        <f t="shared" si="302"/>
        <v>136.57700000000006</v>
      </c>
      <c r="AF100" s="1006">
        <f t="shared" si="284"/>
        <v>504.43200000000007</v>
      </c>
      <c r="AG100" s="111">
        <f t="shared" si="284"/>
        <v>121.176</v>
      </c>
      <c r="AH100" s="111">
        <f t="shared" si="284"/>
        <v>118.73400000000001</v>
      </c>
      <c r="AI100" s="111">
        <f t="shared" si="284"/>
        <v>124.754</v>
      </c>
      <c r="AJ100" s="92">
        <f t="shared" si="303"/>
        <v>135.94500000000005</v>
      </c>
      <c r="AK100" s="1006">
        <f t="shared" si="285"/>
        <v>500.60900000000004</v>
      </c>
      <c r="AL100" s="111">
        <f t="shared" si="285"/>
        <v>124.81500000000001</v>
      </c>
      <c r="AM100" s="111">
        <f t="shared" si="285"/>
        <v>124.75800000000001</v>
      </c>
      <c r="AN100" s="111">
        <f t="shared" si="285"/>
        <v>138.024</v>
      </c>
      <c r="AO100" s="92">
        <f t="shared" si="304"/>
        <v>140.12800000000004</v>
      </c>
      <c r="AP100" s="1006">
        <f t="shared" si="286"/>
        <v>527.725</v>
      </c>
      <c r="AQ100" s="111">
        <f t="shared" si="286"/>
        <v>128.27000000000001</v>
      </c>
      <c r="AR100" s="111">
        <f t="shared" si="286"/>
        <v>127.155</v>
      </c>
      <c r="AS100" s="111">
        <f t="shared" si="286"/>
        <v>142.75400000000002</v>
      </c>
      <c r="AT100" s="92">
        <f t="shared" si="287"/>
        <v>139.76400000000001</v>
      </c>
      <c r="AU100" s="1006">
        <f t="shared" si="288"/>
        <v>537.94299999999998</v>
      </c>
      <c r="AV100" s="111">
        <f t="shared" si="288"/>
        <v>130.095</v>
      </c>
      <c r="AW100" s="111">
        <f t="shared" si="288"/>
        <v>125.89500000000001</v>
      </c>
      <c r="AX100" s="111">
        <f t="shared" si="288"/>
        <v>139.31999999999999</v>
      </c>
      <c r="AY100" s="92">
        <f t="shared" si="289"/>
        <v>131.48599999999993</v>
      </c>
      <c r="AZ100" s="1006">
        <f t="shared" si="290"/>
        <v>526.79599999999994</v>
      </c>
      <c r="BA100" s="111">
        <f t="shared" si="291"/>
        <v>123.64</v>
      </c>
      <c r="BB100" s="111">
        <f t="shared" si="292"/>
        <v>108.008</v>
      </c>
      <c r="BC100" s="111">
        <f t="shared" si="293"/>
        <v>124.032</v>
      </c>
      <c r="BD100" s="305">
        <f t="shared" si="294"/>
        <v>112.17200000000007</v>
      </c>
      <c r="BE100" s="1007">
        <f t="shared" si="295"/>
        <v>467.85200000000003</v>
      </c>
      <c r="BF100" s="304">
        <f t="shared" si="295"/>
        <v>87.647000000000006</v>
      </c>
      <c r="BG100" s="111">
        <f t="shared" si="295"/>
        <v>110.758</v>
      </c>
      <c r="BH100" s="802">
        <f t="shared" si="296"/>
        <v>45.234000000000002</v>
      </c>
      <c r="BI100" s="111">
        <f t="shared" si="297"/>
        <v>144.30500000000001</v>
      </c>
      <c r="BJ100" s="1006">
        <f>SUM(BF100,BG100,BH100,BI100)</f>
        <v>387.94400000000002</v>
      </c>
      <c r="BK100" s="111">
        <f t="shared" si="298"/>
        <v>169.785</v>
      </c>
      <c r="BL100" s="111">
        <f t="shared" si="298"/>
        <v>217.37625</v>
      </c>
      <c r="BM100" s="111">
        <f t="shared" si="298"/>
        <v>210.17325</v>
      </c>
      <c r="BN100" s="111">
        <f t="shared" si="298"/>
        <v>151.52025</v>
      </c>
      <c r="BO100" s="1006">
        <f>SUM(BK100,BL100,BM100,BN100)</f>
        <v>748.85474999999997</v>
      </c>
      <c r="BP100" s="1006">
        <f t="shared" si="299"/>
        <v>779.19100875000004</v>
      </c>
      <c r="BQ100" s="1006">
        <f t="shared" si="299"/>
        <v>794.46000427500007</v>
      </c>
      <c r="BR100" s="1006">
        <f t="shared" si="299"/>
        <v>818.29380440325008</v>
      </c>
      <c r="BS100" s="304"/>
    </row>
    <row r="101" spans="1:71" s="565" customFormat="1" ht="15">
      <c r="A101" s="233" t="s">
        <v>789</v>
      </c>
      <c r="B101" s="563"/>
      <c r="C101" s="1006">
        <f t="shared" si="280"/>
        <v>0</v>
      </c>
      <c r="D101" s="1006"/>
      <c r="E101" s="1006"/>
      <c r="F101" s="1006"/>
      <c r="G101" s="1006"/>
      <c r="H101" s="111"/>
      <c r="I101" s="111"/>
      <c r="J101" s="111"/>
      <c r="K101" s="92"/>
      <c r="L101" s="1006"/>
      <c r="M101" s="111"/>
      <c r="N101" s="111"/>
      <c r="O101" s="111"/>
      <c r="P101" s="92"/>
      <c r="Q101" s="1006">
        <f t="shared" si="281"/>
        <v>149.94</v>
      </c>
      <c r="R101" s="111">
        <f t="shared" si="281"/>
        <v>38.055</v>
      </c>
      <c r="S101" s="111">
        <f t="shared" si="281"/>
        <v>35.052</v>
      </c>
      <c r="T101" s="111">
        <f t="shared" si="281"/>
        <v>34.036000000000001</v>
      </c>
      <c r="U101" s="92">
        <f t="shared" si="300"/>
        <v>33.525000000000006</v>
      </c>
      <c r="V101" s="1006">
        <f t="shared" si="282"/>
        <v>140.66800000000001</v>
      </c>
      <c r="W101" s="111">
        <f t="shared" si="282"/>
        <v>33</v>
      </c>
      <c r="X101" s="111">
        <f t="shared" si="282"/>
        <v>33.983999999999995</v>
      </c>
      <c r="Y101" s="111">
        <f t="shared" si="282"/>
        <v>35.96</v>
      </c>
      <c r="Z101" s="92">
        <f t="shared" si="301"/>
        <v>37.140999999999984</v>
      </c>
      <c r="AA101" s="1006">
        <f t="shared" si="283"/>
        <v>140.08499999999998</v>
      </c>
      <c r="AB101" s="111">
        <f t="shared" si="283"/>
        <v>34.951999999999998</v>
      </c>
      <c r="AC101" s="111">
        <f t="shared" si="283"/>
        <v>34.979999999999997</v>
      </c>
      <c r="AD101" s="111">
        <f t="shared" si="283"/>
        <v>33.968000000000004</v>
      </c>
      <c r="AE101" s="92">
        <f t="shared" si="302"/>
        <v>36.269999999999996</v>
      </c>
      <c r="AF101" s="1006">
        <f t="shared" si="284"/>
        <v>140.16999999999999</v>
      </c>
      <c r="AG101" s="111">
        <f t="shared" si="284"/>
        <v>36.966000000000001</v>
      </c>
      <c r="AH101" s="111">
        <f t="shared" si="284"/>
        <v>37.064</v>
      </c>
      <c r="AI101" s="111">
        <f t="shared" si="284"/>
        <v>37.996000000000002</v>
      </c>
      <c r="AJ101" s="92">
        <f t="shared" si="303"/>
        <v>38.795999999999999</v>
      </c>
      <c r="AK101" s="1006">
        <f t="shared" si="285"/>
        <v>150.822</v>
      </c>
      <c r="AL101" s="111">
        <f t="shared" si="285"/>
        <v>42.073999999999998</v>
      </c>
      <c r="AM101" s="111">
        <f t="shared" si="285"/>
        <v>44.996999999999993</v>
      </c>
      <c r="AN101" s="111">
        <f t="shared" si="285"/>
        <v>44.103000000000002</v>
      </c>
      <c r="AO101" s="92">
        <f t="shared" si="304"/>
        <v>39.866999999999997</v>
      </c>
      <c r="AP101" s="1006">
        <f t="shared" si="286"/>
        <v>171.041</v>
      </c>
      <c r="AQ101" s="111">
        <f t="shared" si="286"/>
        <v>43.13</v>
      </c>
      <c r="AR101" s="111">
        <f t="shared" si="286"/>
        <v>43.12</v>
      </c>
      <c r="AS101" s="111">
        <f t="shared" si="286"/>
        <v>45.084000000000003</v>
      </c>
      <c r="AT101" s="92">
        <f t="shared" si="287"/>
        <v>47.298000000000002</v>
      </c>
      <c r="AU101" s="1006">
        <f t="shared" si="288"/>
        <v>178.63200000000001</v>
      </c>
      <c r="AV101" s="111">
        <f t="shared" si="288"/>
        <v>58.014999999999993</v>
      </c>
      <c r="AW101" s="111">
        <f t="shared" si="288"/>
        <v>55.165</v>
      </c>
      <c r="AX101" s="111">
        <f t="shared" si="288"/>
        <v>55.944000000000003</v>
      </c>
      <c r="AY101" s="92">
        <f t="shared" si="289"/>
        <v>62.214000000000013</v>
      </c>
      <c r="AZ101" s="1006">
        <f t="shared" si="290"/>
        <v>231.33799999999999</v>
      </c>
      <c r="BA101" s="111">
        <f t="shared" si="291"/>
        <v>54.983999999999995</v>
      </c>
      <c r="BB101" s="111">
        <f t="shared" si="292"/>
        <v>50.095999999999997</v>
      </c>
      <c r="BC101" s="111">
        <f t="shared" si="293"/>
        <v>56.065999999999995</v>
      </c>
      <c r="BD101" s="92">
        <f t="shared" si="294"/>
        <v>57.013000000000012</v>
      </c>
      <c r="BE101" s="1006">
        <f t="shared" si="295"/>
        <v>218.15900000000002</v>
      </c>
      <c r="BF101" s="111">
        <f t="shared" si="295"/>
        <v>43.940000000000005</v>
      </c>
      <c r="BG101" s="111">
        <f t="shared" si="295"/>
        <v>45.029999999999994</v>
      </c>
      <c r="BH101" s="802">
        <f t="shared" si="296"/>
        <v>38.957999999999998</v>
      </c>
      <c r="BI101" s="111">
        <f t="shared" si="297"/>
        <v>46.204470000000008</v>
      </c>
      <c r="BJ101" s="1006">
        <f>SUM(BF101,BG101,BH101,BI101)</f>
        <v>174.13247000000001</v>
      </c>
      <c r="BK101" s="111">
        <f t="shared" si="298"/>
        <v>37.15719</v>
      </c>
      <c r="BL101" s="111">
        <f t="shared" si="298"/>
        <v>35.500500000000002</v>
      </c>
      <c r="BM101" s="111">
        <f t="shared" si="298"/>
        <v>24.613680000000002</v>
      </c>
      <c r="BN101" s="111">
        <f t="shared" si="298"/>
        <v>38.065374900000009</v>
      </c>
      <c r="BO101" s="1006">
        <f>SUM(BK101,BL101,BM101,BN101)</f>
        <v>135.33674490000001</v>
      </c>
      <c r="BP101" s="1006">
        <f t="shared" si="299"/>
        <v>137.85930465300004</v>
      </c>
      <c r="BQ101" s="1006">
        <f t="shared" si="299"/>
        <v>141.99508379259001</v>
      </c>
      <c r="BR101" s="1006">
        <f t="shared" si="299"/>
        <v>146.25493630636771</v>
      </c>
      <c r="BS101" s="304"/>
    </row>
    <row r="102" spans="1:71" s="565" customFormat="1" ht="15">
      <c r="A102" s="233" t="s">
        <v>803</v>
      </c>
      <c r="B102" s="563"/>
      <c r="C102" s="1006">
        <f t="shared" si="280"/>
        <v>0</v>
      </c>
      <c r="D102" s="1006"/>
      <c r="E102" s="1006"/>
      <c r="F102" s="1006"/>
      <c r="G102" s="1006"/>
      <c r="H102" s="111"/>
      <c r="I102" s="111"/>
      <c r="J102" s="111"/>
      <c r="K102" s="92"/>
      <c r="L102" s="1006"/>
      <c r="M102" s="111"/>
      <c r="N102" s="111"/>
      <c r="O102" s="111"/>
      <c r="P102" s="92"/>
      <c r="Q102" s="1006">
        <f t="shared" si="281"/>
        <v>0</v>
      </c>
      <c r="R102" s="111">
        <f t="shared" si="281"/>
        <v>0</v>
      </c>
      <c r="S102" s="111">
        <f t="shared" si="281"/>
        <v>0</v>
      </c>
      <c r="T102" s="111">
        <f t="shared" si="281"/>
        <v>0</v>
      </c>
      <c r="U102" s="92">
        <f t="shared" si="300"/>
        <v>0</v>
      </c>
      <c r="V102" s="1006">
        <f t="shared" si="282"/>
        <v>0</v>
      </c>
      <c r="W102" s="111">
        <f t="shared" si="282"/>
        <v>0</v>
      </c>
      <c r="X102" s="111">
        <f t="shared" si="282"/>
        <v>0</v>
      </c>
      <c r="Y102" s="111">
        <f t="shared" si="282"/>
        <v>0</v>
      </c>
      <c r="Z102" s="92">
        <f t="shared" si="301"/>
        <v>0</v>
      </c>
      <c r="AA102" s="1006">
        <f t="shared" si="283"/>
        <v>0</v>
      </c>
      <c r="AB102" s="111">
        <f t="shared" si="283"/>
        <v>0</v>
      </c>
      <c r="AC102" s="111">
        <f t="shared" si="283"/>
        <v>0</v>
      </c>
      <c r="AD102" s="111">
        <f t="shared" si="283"/>
        <v>0</v>
      </c>
      <c r="AE102" s="92">
        <f t="shared" si="302"/>
        <v>0</v>
      </c>
      <c r="AF102" s="1006">
        <f t="shared" si="284"/>
        <v>0</v>
      </c>
      <c r="AG102" s="111">
        <f t="shared" si="284"/>
        <v>0</v>
      </c>
      <c r="AH102" s="111">
        <f t="shared" si="284"/>
        <v>0</v>
      </c>
      <c r="AI102" s="111">
        <f t="shared" si="284"/>
        <v>0</v>
      </c>
      <c r="AJ102" s="92">
        <f t="shared" si="303"/>
        <v>0</v>
      </c>
      <c r="AK102" s="1006">
        <f t="shared" si="285"/>
        <v>0</v>
      </c>
      <c r="AL102" s="111">
        <f t="shared" si="285"/>
        <v>0</v>
      </c>
      <c r="AM102" s="111">
        <f t="shared" si="285"/>
        <v>0</v>
      </c>
      <c r="AN102" s="111">
        <f t="shared" si="285"/>
        <v>0</v>
      </c>
      <c r="AO102" s="92">
        <f t="shared" si="304"/>
        <v>0</v>
      </c>
      <c r="AP102" s="1006">
        <f t="shared" si="286"/>
        <v>0</v>
      </c>
      <c r="AQ102" s="111">
        <f t="shared" si="286"/>
        <v>0</v>
      </c>
      <c r="AR102" s="111">
        <f t="shared" si="286"/>
        <v>0</v>
      </c>
      <c r="AS102" s="111">
        <f t="shared" si="286"/>
        <v>0</v>
      </c>
      <c r="AT102" s="92">
        <f t="shared" si="287"/>
        <v>0</v>
      </c>
      <c r="AU102" s="1006">
        <f t="shared" si="288"/>
        <v>0</v>
      </c>
      <c r="AV102" s="111">
        <f t="shared" si="288"/>
        <v>47.007999999999996</v>
      </c>
      <c r="AW102" s="111">
        <f t="shared" si="288"/>
        <v>47.04</v>
      </c>
      <c r="AX102" s="111">
        <f t="shared" si="288"/>
        <v>55.073999999999998</v>
      </c>
      <c r="AY102" s="92">
        <f t="shared" si="289"/>
        <v>44.525999999999996</v>
      </c>
      <c r="AZ102" s="1006">
        <f>AZ62*AZ168</f>
        <v>193.648</v>
      </c>
      <c r="BA102" s="111">
        <f t="shared" si="291"/>
        <v>40.959000000000003</v>
      </c>
      <c r="BB102" s="111">
        <f t="shared" si="292"/>
        <v>40.96</v>
      </c>
      <c r="BC102" s="111">
        <f t="shared" si="293"/>
        <v>50.05</v>
      </c>
      <c r="BD102" s="92">
        <f t="shared" si="294"/>
        <v>36.880999999999979</v>
      </c>
      <c r="BE102" s="1006">
        <f>BE62*BE168</f>
        <v>168.85</v>
      </c>
      <c r="BF102" s="111">
        <f t="shared" si="295"/>
        <v>29.96</v>
      </c>
      <c r="BG102" s="111">
        <f t="shared" si="295"/>
        <v>22.045999999999999</v>
      </c>
      <c r="BH102" s="802">
        <f t="shared" si="296"/>
        <v>1.976</v>
      </c>
      <c r="BI102" s="111">
        <f t="shared" si="297"/>
        <v>40.425000000000004</v>
      </c>
      <c r="BJ102" s="1006">
        <f>SUM(BF102,BG102,BH102,BI102)</f>
        <v>94.407000000000011</v>
      </c>
      <c r="BK102" s="111">
        <f t="shared" si="298"/>
        <v>40.425000000000004</v>
      </c>
      <c r="BL102" s="111">
        <f t="shared" si="298"/>
        <v>40.425000000000004</v>
      </c>
      <c r="BM102" s="111">
        <f t="shared" si="298"/>
        <v>40.425000000000004</v>
      </c>
      <c r="BN102" s="111">
        <f t="shared" si="298"/>
        <v>40.425000000000004</v>
      </c>
      <c r="BO102" s="1006">
        <f>SUM(BK102,BL102,BM102,BN102)</f>
        <v>161.70000000000002</v>
      </c>
      <c r="BP102" s="1006">
        <f t="shared" si="299"/>
        <v>161.70000000000002</v>
      </c>
      <c r="BQ102" s="1006">
        <f t="shared" si="299"/>
        <v>161.70000000000002</v>
      </c>
      <c r="BR102" s="1006">
        <f t="shared" si="299"/>
        <v>161.70000000000002</v>
      </c>
      <c r="BS102" s="304"/>
    </row>
    <row r="103" spans="1:71" s="300" customFormat="1" ht="15">
      <c r="A103" s="510" t="s">
        <v>814</v>
      </c>
      <c r="B103" s="481"/>
      <c r="C103" s="994">
        <f t="shared" si="280"/>
        <v>6443.9700000000003</v>
      </c>
      <c r="D103" s="994">
        <f t="shared" si="305" ref="D103:J103">D63*D169</f>
        <v>6514.7049999999999</v>
      </c>
      <c r="E103" s="994">
        <f t="shared" si="305"/>
        <v>6667.0940000000001</v>
      </c>
      <c r="F103" s="994">
        <f t="shared" si="305"/>
        <v>7058.5680000000002</v>
      </c>
      <c r="G103" s="994">
        <f t="shared" si="305"/>
        <v>7484.4780000000001</v>
      </c>
      <c r="H103" s="239">
        <f t="shared" si="305"/>
        <v>1928.4720000000002</v>
      </c>
      <c r="I103" s="239">
        <f t="shared" si="305"/>
        <v>1873.04</v>
      </c>
      <c r="J103" s="239">
        <f t="shared" si="305"/>
        <v>1921.4780000000001</v>
      </c>
      <c r="K103" s="239">
        <f t="shared" si="306" ref="K103">L103-H103-I103-J103</f>
        <v>2000.7860000000001</v>
      </c>
      <c r="L103" s="994">
        <f>L63*L169</f>
        <v>7723.7760000000007</v>
      </c>
      <c r="M103" s="239">
        <f>M63*M169</f>
        <v>1967.89</v>
      </c>
      <c r="N103" s="239">
        <f>N63*N169</f>
        <v>1970.289</v>
      </c>
      <c r="O103" s="239">
        <f>O63*O169</f>
        <v>1904.85</v>
      </c>
      <c r="P103" s="239">
        <f t="shared" si="307" ref="P103">Q103-M103-N103-O103</f>
        <v>1703.9119999999998</v>
      </c>
      <c r="Q103" s="994">
        <f t="shared" si="281"/>
        <v>7546.9409999999998</v>
      </c>
      <c r="R103" s="239">
        <f t="shared" si="281"/>
        <v>1879.84</v>
      </c>
      <c r="S103" s="239">
        <f t="shared" si="281"/>
        <v>1941.0160000000001</v>
      </c>
      <c r="T103" s="239">
        <f t="shared" si="281"/>
        <v>1922.0309999999999</v>
      </c>
      <c r="U103" s="239">
        <f t="shared" si="300"/>
        <v>1785.2279999999996</v>
      </c>
      <c r="V103" s="994">
        <f t="shared" si="282"/>
        <v>7528.1149999999998</v>
      </c>
      <c r="W103" s="239">
        <f t="shared" si="282"/>
        <v>1885.4369999999999</v>
      </c>
      <c r="X103" s="239">
        <f t="shared" si="282"/>
        <v>1928.329</v>
      </c>
      <c r="Y103" s="239">
        <f t="shared" si="282"/>
        <v>1974</v>
      </c>
      <c r="Z103" s="239">
        <f t="shared" si="301"/>
        <v>2070.4840000000004</v>
      </c>
      <c r="AA103" s="994">
        <f t="shared" si="283"/>
        <v>7858.25</v>
      </c>
      <c r="AB103" s="239">
        <f t="shared" si="283"/>
        <v>1972.674</v>
      </c>
      <c r="AC103" s="239">
        <f t="shared" si="283"/>
        <v>2047.25</v>
      </c>
      <c r="AD103" s="239">
        <f t="shared" si="283"/>
        <v>2096.64</v>
      </c>
      <c r="AE103" s="239">
        <f t="shared" si="302"/>
        <v>2153.8860000000009</v>
      </c>
      <c r="AF103" s="994">
        <f t="shared" si="284"/>
        <v>8270.4500000000007</v>
      </c>
      <c r="AG103" s="239">
        <f t="shared" si="284"/>
        <v>2075.7080000000001</v>
      </c>
      <c r="AH103" s="239">
        <f t="shared" si="284"/>
        <v>2040.035</v>
      </c>
      <c r="AI103" s="239">
        <f t="shared" si="284"/>
        <v>2081.3339999999998</v>
      </c>
      <c r="AJ103" s="239">
        <f t="shared" si="303"/>
        <v>2200.0860000000002</v>
      </c>
      <c r="AK103" s="994">
        <f t="shared" si="285"/>
        <v>8397.1630000000005</v>
      </c>
      <c r="AL103" s="239">
        <f t="shared" si="285"/>
        <v>2282.4169999999999</v>
      </c>
      <c r="AM103" s="239">
        <f t="shared" si="285"/>
        <v>2818.4340000000002</v>
      </c>
      <c r="AN103" s="239">
        <f t="shared" si="285"/>
        <v>2229.0479999999998</v>
      </c>
      <c r="AO103" s="239">
        <f t="shared" si="304"/>
        <v>2205.5410000000011</v>
      </c>
      <c r="AP103" s="994">
        <f t="shared" si="286"/>
        <v>9535.44</v>
      </c>
      <c r="AQ103" s="239">
        <f t="shared" si="286"/>
        <v>2295.8720000000003</v>
      </c>
      <c r="AR103" s="239">
        <f t="shared" si="286"/>
        <v>2472.223</v>
      </c>
      <c r="AS103" s="239">
        <f t="shared" si="286"/>
        <v>2549.9090000000001</v>
      </c>
      <c r="AT103" s="239">
        <f t="shared" si="287"/>
        <v>2593.2259999999992</v>
      </c>
      <c r="AU103" s="994">
        <f t="shared" si="288"/>
        <v>9911.2299999999996</v>
      </c>
      <c r="AV103" s="239">
        <f t="shared" si="288"/>
        <v>2519.52</v>
      </c>
      <c r="AW103" s="239">
        <f t="shared" si="288"/>
        <v>2501.02</v>
      </c>
      <c r="AX103" s="239">
        <f t="shared" si="288"/>
        <v>2510.3250000000003</v>
      </c>
      <c r="AY103" s="239">
        <f t="shared" si="289"/>
        <v>2568.2049999999986</v>
      </c>
      <c r="AZ103" s="994">
        <f>AZ63*AZ169</f>
        <v>10099.07</v>
      </c>
      <c r="BA103" s="239">
        <f t="shared" si="291"/>
        <v>2454.985</v>
      </c>
      <c r="BB103" s="239">
        <f t="shared" si="292"/>
        <v>2443.8049999999998</v>
      </c>
      <c r="BC103" s="239">
        <f t="shared" si="293"/>
        <v>2601.2399999999998</v>
      </c>
      <c r="BD103" s="239">
        <f t="shared" si="294"/>
        <v>2669.6399999999994</v>
      </c>
      <c r="BE103" s="994">
        <f>BE63*BE169</f>
        <v>10169.67</v>
      </c>
      <c r="BF103" s="239">
        <f t="shared" si="295"/>
        <v>2657.3999999999996</v>
      </c>
      <c r="BG103" s="239">
        <f t="shared" si="295"/>
        <v>2841.2069999999999</v>
      </c>
      <c r="BH103" s="642">
        <f t="shared" si="296"/>
        <v>2944.21</v>
      </c>
      <c r="BI103" s="239">
        <f>SUM(BI98:BI102)</f>
        <v>3140.2242100000003</v>
      </c>
      <c r="BJ103" s="994">
        <f t="shared" si="308" ref="BJ103">SUM(BJ98:BJ102)</f>
        <v>11589.90321</v>
      </c>
      <c r="BK103" s="239">
        <f t="shared" si="309" ref="BK103:BR103">SUM(BK98:BK102)</f>
        <v>3271.2045600000001</v>
      </c>
      <c r="BL103" s="239">
        <f t="shared" si="309"/>
        <v>3528.6613800000005</v>
      </c>
      <c r="BM103" s="239">
        <f t="shared" si="309"/>
        <v>3649.3577550000005</v>
      </c>
      <c r="BN103" s="239">
        <f t="shared" si="309"/>
        <v>3395.8363368999999</v>
      </c>
      <c r="BO103" s="994">
        <f t="shared" si="309"/>
        <v>13845.060031900002</v>
      </c>
      <c r="BP103" s="994">
        <f t="shared" si="309"/>
        <v>13982.344815993005</v>
      </c>
      <c r="BQ103" s="994">
        <f t="shared" si="309"/>
        <v>14352.787686125193</v>
      </c>
      <c r="BR103" s="994">
        <f t="shared" si="309"/>
        <v>14778.520316708949</v>
      </c>
      <c r="BS103" s="305"/>
    </row>
    <row r="104" spans="1:71" s="300" customFormat="1" ht="15">
      <c r="A104" s="395" t="s">
        <v>753</v>
      </c>
      <c r="B104" s="113"/>
      <c r="C104" s="990">
        <v>7</v>
      </c>
      <c r="D104" s="990">
        <v>5</v>
      </c>
      <c r="E104" s="990">
        <v>4</v>
      </c>
      <c r="F104" s="990">
        <v>2</v>
      </c>
      <c r="G104" s="990">
        <v>1</v>
      </c>
      <c r="H104" s="900">
        <v>0</v>
      </c>
      <c r="I104" s="900">
        <v>1</v>
      </c>
      <c r="J104" s="900">
        <v>1</v>
      </c>
      <c r="K104" s="900">
        <v>1</v>
      </c>
      <c r="L104" s="990">
        <v>3</v>
      </c>
      <c r="M104" s="900">
        <v>1</v>
      </c>
      <c r="N104" s="900">
        <v>0</v>
      </c>
      <c r="O104" s="900">
        <v>1</v>
      </c>
      <c r="P104" s="900">
        <v>0</v>
      </c>
      <c r="Q104" s="990">
        <v>2</v>
      </c>
      <c r="R104" s="900">
        <v>1</v>
      </c>
      <c r="S104" s="900">
        <v>0</v>
      </c>
      <c r="T104" s="900">
        <v>1</v>
      </c>
      <c r="U104" s="900">
        <v>0</v>
      </c>
      <c r="V104" s="990">
        <v>2</v>
      </c>
      <c r="W104" s="900">
        <v>0</v>
      </c>
      <c r="X104" s="900">
        <v>2</v>
      </c>
      <c r="Y104" s="900">
        <v>0</v>
      </c>
      <c r="Z104" s="900">
        <v>1</v>
      </c>
      <c r="AA104" s="990">
        <v>3</v>
      </c>
      <c r="AB104" s="900">
        <v>0</v>
      </c>
      <c r="AC104" s="900">
        <v>1</v>
      </c>
      <c r="AD104" s="900">
        <v>0</v>
      </c>
      <c r="AE104" s="900">
        <v>2</v>
      </c>
      <c r="AF104" s="990">
        <v>3</v>
      </c>
      <c r="AG104" s="900">
        <v>1</v>
      </c>
      <c r="AH104" s="900">
        <v>0</v>
      </c>
      <c r="AI104" s="900">
        <v>1</v>
      </c>
      <c r="AJ104" s="900">
        <v>1</v>
      </c>
      <c r="AK104" s="990">
        <v>3</v>
      </c>
      <c r="AL104" s="900">
        <v>1</v>
      </c>
      <c r="AM104" s="900">
        <v>1</v>
      </c>
      <c r="AN104" s="900">
        <v>0</v>
      </c>
      <c r="AO104" s="900">
        <v>1</v>
      </c>
      <c r="AP104" s="990">
        <v>3</v>
      </c>
      <c r="AQ104" s="900">
        <v>2</v>
      </c>
      <c r="AR104" s="900">
        <v>1</v>
      </c>
      <c r="AS104" s="900">
        <v>0</v>
      </c>
      <c r="AT104" s="115">
        <f t="shared" si="287"/>
        <v>1</v>
      </c>
      <c r="AU104" s="990">
        <v>4</v>
      </c>
      <c r="AV104" s="900">
        <v>1</v>
      </c>
      <c r="AW104" s="900">
        <v>0</v>
      </c>
      <c r="AX104" s="900">
        <v>2</v>
      </c>
      <c r="AY104" s="115">
        <f t="shared" si="289"/>
        <v>1</v>
      </c>
      <c r="AZ104" s="990">
        <v>4</v>
      </c>
      <c r="BA104" s="900">
        <v>1</v>
      </c>
      <c r="BB104" s="900">
        <v>1</v>
      </c>
      <c r="BC104" s="900">
        <v>1</v>
      </c>
      <c r="BD104" s="115">
        <f>BE104-BA104-BB104-BC104</f>
        <v>2</v>
      </c>
      <c r="BE104" s="990">
        <v>5</v>
      </c>
      <c r="BF104" s="893">
        <v>1</v>
      </c>
      <c r="BG104" s="900">
        <v>1</v>
      </c>
      <c r="BH104" s="901">
        <v>1</v>
      </c>
      <c r="BI104" s="900">
        <v>0</v>
      </c>
      <c r="BJ104" s="995">
        <f>SUM(BF104,BG104,BH104,BI104)</f>
        <v>3</v>
      </c>
      <c r="BK104" s="900">
        <v>0</v>
      </c>
      <c r="BL104" s="900">
        <v>0</v>
      </c>
      <c r="BM104" s="900">
        <v>0</v>
      </c>
      <c r="BN104" s="900">
        <v>0</v>
      </c>
      <c r="BO104" s="995">
        <f>SUM(BK104,BL104,BM104,BN104)</f>
        <v>0</v>
      </c>
      <c r="BP104" s="990">
        <v>0</v>
      </c>
      <c r="BQ104" s="990">
        <v>0</v>
      </c>
      <c r="BR104" s="990">
        <v>0</v>
      </c>
      <c r="BS104" s="305"/>
    </row>
    <row r="105" spans="1:71" s="51" customFormat="1" ht="15">
      <c r="A105" s="161" t="s">
        <v>550</v>
      </c>
      <c r="B105" s="164"/>
      <c r="C105" s="997">
        <f>SUM(C103:C104)</f>
        <v>6450.9700000000003</v>
      </c>
      <c r="D105" s="997">
        <f t="shared" si="310" ref="D105:AL105">SUM(D103:D104)</f>
        <v>6519.7049999999999</v>
      </c>
      <c r="E105" s="997">
        <f t="shared" si="310"/>
        <v>6671.0940000000001</v>
      </c>
      <c r="F105" s="997">
        <f t="shared" si="310"/>
        <v>7060.5680000000002</v>
      </c>
      <c r="G105" s="997">
        <f t="shared" si="310"/>
        <v>7485.4780000000001</v>
      </c>
      <c r="H105" s="90">
        <f t="shared" si="310"/>
        <v>1928.4720000000002</v>
      </c>
      <c r="I105" s="90">
        <f t="shared" si="310"/>
        <v>1874.04</v>
      </c>
      <c r="J105" s="90">
        <f t="shared" si="310"/>
        <v>1922.4780000000001</v>
      </c>
      <c r="K105" s="90">
        <f t="shared" si="310"/>
        <v>2001.7860000000001</v>
      </c>
      <c r="L105" s="997">
        <f t="shared" si="310"/>
        <v>7726.7760000000007</v>
      </c>
      <c r="M105" s="90">
        <f t="shared" si="310"/>
        <v>1968.89</v>
      </c>
      <c r="N105" s="90">
        <f t="shared" si="310"/>
        <v>1970.289</v>
      </c>
      <c r="O105" s="90">
        <f t="shared" si="310"/>
        <v>1905.85</v>
      </c>
      <c r="P105" s="90">
        <f t="shared" si="310"/>
        <v>1703.9119999999998</v>
      </c>
      <c r="Q105" s="997">
        <f t="shared" si="310"/>
        <v>7548.9409999999998</v>
      </c>
      <c r="R105" s="90">
        <f t="shared" si="310"/>
        <v>1880.84</v>
      </c>
      <c r="S105" s="90">
        <f t="shared" si="310"/>
        <v>1941.0160000000001</v>
      </c>
      <c r="T105" s="90">
        <f t="shared" si="310"/>
        <v>1923.0309999999999</v>
      </c>
      <c r="U105" s="90">
        <f t="shared" si="310"/>
        <v>1785.2279999999996</v>
      </c>
      <c r="V105" s="997">
        <f t="shared" si="310"/>
        <v>7530.1149999999998</v>
      </c>
      <c r="W105" s="90">
        <f t="shared" si="310"/>
        <v>1885.4369999999999</v>
      </c>
      <c r="X105" s="90">
        <f t="shared" si="310"/>
        <v>1930.329</v>
      </c>
      <c r="Y105" s="90">
        <f t="shared" si="310"/>
        <v>1974</v>
      </c>
      <c r="Z105" s="90">
        <f t="shared" si="310"/>
        <v>2071.4840000000004</v>
      </c>
      <c r="AA105" s="997">
        <f t="shared" si="310"/>
        <v>7861.25</v>
      </c>
      <c r="AB105" s="90">
        <f t="shared" si="310"/>
        <v>1972.674</v>
      </c>
      <c r="AC105" s="90">
        <f t="shared" si="310"/>
        <v>2048.25</v>
      </c>
      <c r="AD105" s="90">
        <f t="shared" si="310"/>
        <v>2096.64</v>
      </c>
      <c r="AE105" s="90">
        <f t="shared" si="310"/>
        <v>2155.8860000000009</v>
      </c>
      <c r="AF105" s="997">
        <f t="shared" si="310"/>
        <v>8273.4500000000007</v>
      </c>
      <c r="AG105" s="90">
        <f t="shared" si="310"/>
        <v>2076.7080000000001</v>
      </c>
      <c r="AH105" s="90">
        <f t="shared" si="310"/>
        <v>2040.035</v>
      </c>
      <c r="AI105" s="90">
        <f t="shared" si="310"/>
        <v>2082.3339999999998</v>
      </c>
      <c r="AJ105" s="90">
        <f t="shared" si="310"/>
        <v>2201.0860000000002</v>
      </c>
      <c r="AK105" s="997">
        <f t="shared" si="310"/>
        <v>8400.1630000000005</v>
      </c>
      <c r="AL105" s="90">
        <f t="shared" si="310"/>
        <v>2283.4169999999999</v>
      </c>
      <c r="AM105" s="90">
        <f>SUM(AM103:AM104)</f>
        <v>2819.4340000000002</v>
      </c>
      <c r="AN105" s="90">
        <f>SUM(AN103:AN104)</f>
        <v>2229.0479999999998</v>
      </c>
      <c r="AO105" s="90">
        <f t="shared" si="311" ref="AO105:AP105">SUM(AO103:AO104)</f>
        <v>2206.5410000000011</v>
      </c>
      <c r="AP105" s="997">
        <f t="shared" si="311"/>
        <v>9538.44</v>
      </c>
      <c r="AQ105" s="90">
        <f t="shared" si="312" ref="AQ105:AV105">SUM(AQ103:AQ104)</f>
        <v>2297.8720000000003</v>
      </c>
      <c r="AR105" s="90">
        <f t="shared" si="312"/>
        <v>2473.223</v>
      </c>
      <c r="AS105" s="90">
        <f t="shared" si="312"/>
        <v>2549.9090000000001</v>
      </c>
      <c r="AT105" s="90">
        <f t="shared" si="312"/>
        <v>2594.2259999999992</v>
      </c>
      <c r="AU105" s="997">
        <f t="shared" si="312"/>
        <v>9915.2299999999996</v>
      </c>
      <c r="AV105" s="90">
        <f t="shared" si="312"/>
        <v>2520.52</v>
      </c>
      <c r="AW105" s="90">
        <f t="shared" si="313" ref="AW105:BJ105">SUM(AW103:AW104)</f>
        <v>2501.02</v>
      </c>
      <c r="AX105" s="90">
        <f t="shared" si="313"/>
        <v>2512.3250000000003</v>
      </c>
      <c r="AY105" s="90">
        <f t="shared" si="313"/>
        <v>2569.2049999999986</v>
      </c>
      <c r="AZ105" s="997">
        <f t="shared" si="313"/>
        <v>10103.07</v>
      </c>
      <c r="BA105" s="90">
        <f t="shared" si="314" ref="BA105:BI105">SUM(BA103:BA104)</f>
        <v>2455.985</v>
      </c>
      <c r="BB105" s="90">
        <f t="shared" si="314"/>
        <v>2444.8049999999998</v>
      </c>
      <c r="BC105" s="90">
        <f t="shared" si="314"/>
        <v>2602.2399999999998</v>
      </c>
      <c r="BD105" s="90">
        <f t="shared" si="314"/>
        <v>2671.6399999999994</v>
      </c>
      <c r="BE105" s="1000">
        <f t="shared" si="314"/>
        <v>10174.67</v>
      </c>
      <c r="BF105" s="90">
        <f t="shared" si="315" ref="BF105:BG105">SUM(BF103:BF104)</f>
        <v>2658.3999999999996</v>
      </c>
      <c r="BG105" s="90">
        <f t="shared" si="315"/>
        <v>2842.2069999999999</v>
      </c>
      <c r="BH105" s="747">
        <f>SUM(BH103:BH104)</f>
        <v>2945.21</v>
      </c>
      <c r="BI105" s="90">
        <f t="shared" si="314"/>
        <v>3140.2242100000003</v>
      </c>
      <c r="BJ105" s="997">
        <f t="shared" si="313"/>
        <v>11592.90321</v>
      </c>
      <c r="BK105" s="90">
        <f t="shared" si="316" ref="BK105:BR105">SUM(BK103:BK104)</f>
        <v>3271.2045600000001</v>
      </c>
      <c r="BL105" s="90">
        <f t="shared" si="316"/>
        <v>3528.6613800000005</v>
      </c>
      <c r="BM105" s="90">
        <f t="shared" si="316"/>
        <v>3649.3577550000005</v>
      </c>
      <c r="BN105" s="90">
        <f t="shared" si="316"/>
        <v>3395.8363368999999</v>
      </c>
      <c r="BO105" s="997">
        <f t="shared" si="316"/>
        <v>13845.060031900002</v>
      </c>
      <c r="BP105" s="997">
        <f t="shared" si="316"/>
        <v>13982.344815993005</v>
      </c>
      <c r="BQ105" s="997">
        <f t="shared" si="316"/>
        <v>14352.787686125193</v>
      </c>
      <c r="BR105" s="997">
        <f t="shared" si="316"/>
        <v>14778.520316708949</v>
      </c>
      <c r="BS105" s="57"/>
    </row>
    <row r="106" spans="1:71" s="51" customFormat="1" ht="15">
      <c r="A106" s="390"/>
      <c r="B106" s="391"/>
      <c r="C106" s="1000"/>
      <c r="D106" s="1000"/>
      <c r="E106" s="1000"/>
      <c r="F106" s="1000"/>
      <c r="G106" s="1000"/>
      <c r="H106" s="128"/>
      <c r="I106" s="128"/>
      <c r="J106" s="128"/>
      <c r="K106" s="128"/>
      <c r="L106" s="1000"/>
      <c r="M106" s="128"/>
      <c r="N106" s="128"/>
      <c r="O106" s="128"/>
      <c r="P106" s="128"/>
      <c r="Q106" s="1000"/>
      <c r="R106" s="128"/>
      <c r="S106" s="128"/>
      <c r="T106" s="128"/>
      <c r="U106" s="128"/>
      <c r="V106" s="1000"/>
      <c r="W106" s="128"/>
      <c r="X106" s="128"/>
      <c r="Y106" s="128"/>
      <c r="Z106" s="128"/>
      <c r="AA106" s="1000"/>
      <c r="AB106" s="128"/>
      <c r="AC106" s="128"/>
      <c r="AD106" s="128"/>
      <c r="AE106" s="128"/>
      <c r="AF106" s="1000"/>
      <c r="AG106" s="128"/>
      <c r="AH106" s="128"/>
      <c r="AI106" s="128"/>
      <c r="AJ106" s="128"/>
      <c r="AK106" s="1000"/>
      <c r="AL106" s="128"/>
      <c r="AM106" s="128"/>
      <c r="AN106" s="128"/>
      <c r="AO106" s="128"/>
      <c r="AP106" s="1000"/>
      <c r="AQ106" s="128"/>
      <c r="AR106" s="128"/>
      <c r="AS106" s="128"/>
      <c r="AT106" s="128"/>
      <c r="AU106" s="1000"/>
      <c r="AV106" s="128"/>
      <c r="AW106" s="128"/>
      <c r="AX106" s="128"/>
      <c r="AY106" s="128"/>
      <c r="AZ106" s="1000"/>
      <c r="BA106" s="128"/>
      <c r="BB106" s="128"/>
      <c r="BC106" s="128"/>
      <c r="BD106" s="128"/>
      <c r="BE106" s="1000"/>
      <c r="BF106" s="128"/>
      <c r="BG106" s="128"/>
      <c r="BH106" s="465"/>
      <c r="BI106" s="128"/>
      <c r="BJ106" s="1000"/>
      <c r="BK106" s="128"/>
      <c r="BL106" s="128"/>
      <c r="BM106" s="128"/>
      <c r="BN106" s="128"/>
      <c r="BO106" s="1000"/>
      <c r="BP106" s="1000"/>
      <c r="BQ106" s="1000"/>
      <c r="BR106" s="1000"/>
      <c r="BS106" s="57"/>
    </row>
    <row r="107" spans="1:71" s="300" customFormat="1" ht="15">
      <c r="A107" s="166" t="s">
        <v>790</v>
      </c>
      <c r="B107" s="233"/>
      <c r="C107" s="989">
        <f t="shared" si="317" ref="C107:AQ107">C73+C98</f>
        <v>0</v>
      </c>
      <c r="D107" s="989">
        <f t="shared" si="317"/>
        <v>0</v>
      </c>
      <c r="E107" s="989">
        <f t="shared" si="317"/>
        <v>0</v>
      </c>
      <c r="F107" s="989">
        <f t="shared" si="317"/>
        <v>0</v>
      </c>
      <c r="G107" s="989">
        <f t="shared" si="317"/>
        <v>0</v>
      </c>
      <c r="H107" s="92">
        <f t="shared" si="317"/>
        <v>0</v>
      </c>
      <c r="I107" s="92">
        <f t="shared" si="317"/>
        <v>0</v>
      </c>
      <c r="J107" s="92">
        <f t="shared" si="317"/>
        <v>0</v>
      </c>
      <c r="K107" s="92">
        <f t="shared" si="317"/>
        <v>0</v>
      </c>
      <c r="L107" s="989">
        <f t="shared" si="317"/>
        <v>0</v>
      </c>
      <c r="M107" s="92">
        <f t="shared" si="317"/>
        <v>0</v>
      </c>
      <c r="N107" s="92">
        <f t="shared" si="317"/>
        <v>0</v>
      </c>
      <c r="O107" s="92">
        <f t="shared" si="317"/>
        <v>0</v>
      </c>
      <c r="P107" s="92">
        <f t="shared" si="317"/>
        <v>0</v>
      </c>
      <c r="Q107" s="989">
        <f t="shared" si="317"/>
        <v>20389.59</v>
      </c>
      <c r="R107" s="92">
        <f t="shared" si="317"/>
        <v>5204.34</v>
      </c>
      <c r="S107" s="92">
        <f t="shared" si="317"/>
        <v>5390.8960000000006</v>
      </c>
      <c r="T107" s="92">
        <f t="shared" si="317"/>
        <v>5331.5879999999997</v>
      </c>
      <c r="U107" s="92">
        <f t="shared" si="317"/>
        <v>5188.3280000000004</v>
      </c>
      <c r="V107" s="989">
        <f t="shared" si="317"/>
        <v>21115.152000000002</v>
      </c>
      <c r="W107" s="92">
        <f t="shared" si="317"/>
        <v>4940.7960000000003</v>
      </c>
      <c r="X107" s="92">
        <f t="shared" si="317"/>
        <v>5247.6700000000001</v>
      </c>
      <c r="Y107" s="92">
        <f t="shared" si="317"/>
        <v>5247.9539999999997</v>
      </c>
      <c r="Z107" s="92">
        <f t="shared" si="317"/>
        <v>5150.7779999999984</v>
      </c>
      <c r="AA107" s="989">
        <f t="shared" si="317"/>
        <v>20587.198</v>
      </c>
      <c r="AB107" s="92">
        <f t="shared" si="317"/>
        <v>4975.99</v>
      </c>
      <c r="AC107" s="92">
        <f t="shared" si="317"/>
        <v>5305.6499999999996</v>
      </c>
      <c r="AD107" s="92">
        <f t="shared" si="317"/>
        <v>5403.7359999999999</v>
      </c>
      <c r="AE107" s="92">
        <f t="shared" si="317"/>
        <v>5492.9639999999981</v>
      </c>
      <c r="AF107" s="989">
        <f t="shared" si="317"/>
        <v>21178.34</v>
      </c>
      <c r="AG107" s="92">
        <f t="shared" si="317"/>
        <v>5420.02</v>
      </c>
      <c r="AH107" s="92">
        <f t="shared" si="317"/>
        <v>5636.6899999999996</v>
      </c>
      <c r="AI107" s="92">
        <f t="shared" si="317"/>
        <v>5660.48</v>
      </c>
      <c r="AJ107" s="92">
        <f t="shared" si="317"/>
        <v>5777.6499999999996</v>
      </c>
      <c r="AK107" s="989">
        <f t="shared" si="317"/>
        <v>22494.84</v>
      </c>
      <c r="AL107" s="92">
        <f t="shared" si="317"/>
        <v>5496.415</v>
      </c>
      <c r="AM107" s="92">
        <f t="shared" si="317"/>
        <v>5172.1360000000004</v>
      </c>
      <c r="AN107" s="92">
        <f t="shared" si="317"/>
        <v>5303.34</v>
      </c>
      <c r="AO107" s="92">
        <f t="shared" si="317"/>
        <v>5218.5089999999973</v>
      </c>
      <c r="AP107" s="989">
        <f t="shared" si="317"/>
        <v>21190.40</v>
      </c>
      <c r="AQ107" s="92">
        <f t="shared" si="317"/>
        <v>5481.2449999999999</v>
      </c>
      <c r="AR107" s="92">
        <f t="shared" si="318" ref="AR107:AW107">AR73+AR98</f>
        <v>6490.6689999999999</v>
      </c>
      <c r="AS107" s="92">
        <f t="shared" si="318"/>
        <v>7070.9760000000006</v>
      </c>
      <c r="AT107" s="92">
        <f t="shared" si="318"/>
        <v>7309.4519999999966</v>
      </c>
      <c r="AU107" s="989">
        <f t="shared" si="318"/>
        <v>26352.342000000001</v>
      </c>
      <c r="AV107" s="92">
        <f t="shared" si="318"/>
        <v>7229.701</v>
      </c>
      <c r="AW107" s="92">
        <f t="shared" si="318"/>
        <v>7928.4920000000002</v>
      </c>
      <c r="AX107" s="92">
        <f t="shared" si="319" ref="AX107:BJ107">AX73+AX98</f>
        <v>8857.8299999999999</v>
      </c>
      <c r="AY107" s="92">
        <f t="shared" si="319"/>
        <v>8700.1919999999973</v>
      </c>
      <c r="AZ107" s="989">
        <f t="shared" si="319"/>
        <v>32716.215</v>
      </c>
      <c r="BA107" s="92">
        <f t="shared" si="320" ref="BA107:BI107">BA73+BA98</f>
        <v>8255.9519999999993</v>
      </c>
      <c r="BB107" s="92">
        <f t="shared" si="320"/>
        <v>8795.0429999999997</v>
      </c>
      <c r="BC107" s="92">
        <f t="shared" si="320"/>
        <v>8520.244999999999</v>
      </c>
      <c r="BD107" s="92">
        <f t="shared" si="320"/>
        <v>8488.7199999999993</v>
      </c>
      <c r="BE107" s="989">
        <f t="shared" si="320"/>
        <v>34059.959999999999</v>
      </c>
      <c r="BF107" s="305">
        <f t="shared" si="321" ref="BF107:BG107">BF73+BF98</f>
        <v>8426.8799999999992</v>
      </c>
      <c r="BG107" s="92">
        <f t="shared" si="321"/>
        <v>8706.7609999999986</v>
      </c>
      <c r="BH107" s="464">
        <f>BH73+BH98</f>
        <v>8787.9599999999991</v>
      </c>
      <c r="BI107" s="92">
        <f t="shared" si="320"/>
        <v>8972.6443099999997</v>
      </c>
      <c r="BJ107" s="989">
        <f t="shared" si="319"/>
        <v>34894.245309999998</v>
      </c>
      <c r="BK107" s="92">
        <f t="shared" si="322" ref="BK107:BR107">BK73+BK98</f>
        <v>9466.2991170000005</v>
      </c>
      <c r="BL107" s="92">
        <f t="shared" si="322"/>
        <v>10302.371244000002</v>
      </c>
      <c r="BM107" s="92">
        <f t="shared" si="322"/>
        <v>10169.823609000001</v>
      </c>
      <c r="BN107" s="92">
        <f t="shared" si="322"/>
        <v>9657.4241610000008</v>
      </c>
      <c r="BO107" s="989">
        <f t="shared" si="322"/>
        <v>39595.918130999999</v>
      </c>
      <c r="BP107" s="989">
        <f t="shared" si="322"/>
        <v>38526.342048018007</v>
      </c>
      <c r="BQ107" s="989">
        <f t="shared" si="322"/>
        <v>39682.132309458546</v>
      </c>
      <c r="BR107" s="989">
        <f t="shared" si="322"/>
        <v>40872.596278742305</v>
      </c>
      <c r="BS107" s="305"/>
    </row>
    <row r="108" spans="1:71" s="300" customFormat="1" ht="15">
      <c r="A108" s="166" t="s">
        <v>791</v>
      </c>
      <c r="B108" s="233"/>
      <c r="C108" s="989">
        <f t="shared" si="323" ref="C108:AQ108">C79+C99</f>
        <v>0</v>
      </c>
      <c r="D108" s="989">
        <f t="shared" si="323"/>
        <v>0</v>
      </c>
      <c r="E108" s="989">
        <f t="shared" si="323"/>
        <v>0</v>
      </c>
      <c r="F108" s="989">
        <f t="shared" si="323"/>
        <v>0</v>
      </c>
      <c r="G108" s="989">
        <f t="shared" si="323"/>
        <v>0</v>
      </c>
      <c r="H108" s="92">
        <f t="shared" si="323"/>
        <v>0</v>
      </c>
      <c r="I108" s="92">
        <f t="shared" si="323"/>
        <v>0</v>
      </c>
      <c r="J108" s="92">
        <f t="shared" si="323"/>
        <v>0</v>
      </c>
      <c r="K108" s="92">
        <f t="shared" si="323"/>
        <v>0</v>
      </c>
      <c r="L108" s="989">
        <f t="shared" si="323"/>
        <v>0</v>
      </c>
      <c r="M108" s="92">
        <f t="shared" si="323"/>
        <v>0</v>
      </c>
      <c r="N108" s="92">
        <f t="shared" si="323"/>
        <v>0</v>
      </c>
      <c r="O108" s="92">
        <f t="shared" si="323"/>
        <v>0</v>
      </c>
      <c r="P108" s="92">
        <f t="shared" si="323"/>
        <v>0</v>
      </c>
      <c r="Q108" s="989">
        <f t="shared" si="323"/>
        <v>5701.6639999999998</v>
      </c>
      <c r="R108" s="92">
        <f t="shared" si="323"/>
        <v>1703.2099999999998</v>
      </c>
      <c r="S108" s="92">
        <f t="shared" si="323"/>
        <v>1789.59</v>
      </c>
      <c r="T108" s="92">
        <f t="shared" si="323"/>
        <v>1417.7660000000001</v>
      </c>
      <c r="U108" s="92">
        <f t="shared" si="323"/>
        <v>1272.3979999999999</v>
      </c>
      <c r="V108" s="989">
        <f t="shared" si="323"/>
        <v>6182.9639999999999</v>
      </c>
      <c r="W108" s="92">
        <f t="shared" si="323"/>
        <v>1742.40</v>
      </c>
      <c r="X108" s="92">
        <f t="shared" si="323"/>
        <v>1791.405</v>
      </c>
      <c r="Y108" s="92">
        <f t="shared" si="323"/>
        <v>1496.7439999999999</v>
      </c>
      <c r="Z108" s="92">
        <f t="shared" si="323"/>
        <v>1621.5510000000002</v>
      </c>
      <c r="AA108" s="989">
        <f t="shared" si="323"/>
        <v>6652.10</v>
      </c>
      <c r="AB108" s="92">
        <f t="shared" si="323"/>
        <v>1506.12</v>
      </c>
      <c r="AC108" s="92">
        <f t="shared" si="323"/>
        <v>1849.088</v>
      </c>
      <c r="AD108" s="92">
        <f t="shared" si="323"/>
        <v>1682.99</v>
      </c>
      <c r="AE108" s="92">
        <f t="shared" si="323"/>
        <v>1997.7139999999999</v>
      </c>
      <c r="AF108" s="989">
        <f t="shared" si="323"/>
        <v>7035.9120000000003</v>
      </c>
      <c r="AG108" s="92">
        <f t="shared" si="323"/>
        <v>1793.745</v>
      </c>
      <c r="AH108" s="92">
        <f t="shared" si="323"/>
        <v>2046.11</v>
      </c>
      <c r="AI108" s="92">
        <f t="shared" si="323"/>
        <v>1647.525</v>
      </c>
      <c r="AJ108" s="92">
        <f t="shared" si="323"/>
        <v>1506.8280000000004</v>
      </c>
      <c r="AK108" s="989">
        <f t="shared" si="323"/>
        <v>6994.2080000000005</v>
      </c>
      <c r="AL108" s="92">
        <f t="shared" si="323"/>
        <v>1456.455</v>
      </c>
      <c r="AM108" s="92">
        <f t="shared" si="323"/>
        <v>2193.672</v>
      </c>
      <c r="AN108" s="92">
        <f t="shared" si="323"/>
        <v>2139.3360000000002</v>
      </c>
      <c r="AO108" s="92">
        <f t="shared" si="323"/>
        <v>1639.1370000000006</v>
      </c>
      <c r="AP108" s="989">
        <f t="shared" si="323"/>
        <v>7428.60</v>
      </c>
      <c r="AQ108" s="92">
        <f t="shared" si="323"/>
        <v>2124.096</v>
      </c>
      <c r="AR108" s="92">
        <f t="shared" si="324" ref="AR108:AW108">AR79+AR99</f>
        <v>2418.2330000000002</v>
      </c>
      <c r="AS108" s="92">
        <f t="shared" si="324"/>
        <v>2799.42</v>
      </c>
      <c r="AT108" s="92">
        <f t="shared" si="324"/>
        <v>2267.587</v>
      </c>
      <c r="AU108" s="989">
        <f t="shared" si="324"/>
        <v>9609.3359999999993</v>
      </c>
      <c r="AV108" s="92">
        <f t="shared" si="324"/>
        <v>2089.1099999999997</v>
      </c>
      <c r="AW108" s="92">
        <f t="shared" si="324"/>
        <v>2758.45</v>
      </c>
      <c r="AX108" s="92">
        <f t="shared" si="325" ref="AX108:BJ108">AX79+AX99</f>
        <v>2375.1580000000004</v>
      </c>
      <c r="AY108" s="92">
        <f t="shared" si="325"/>
        <v>2528.5299999999997</v>
      </c>
      <c r="AZ108" s="989">
        <f t="shared" si="325"/>
        <v>9751.2479999999996</v>
      </c>
      <c r="BA108" s="92">
        <f t="shared" si="326" ref="BA108:BI108">BA79+BA99</f>
        <v>3343.8999999999996</v>
      </c>
      <c r="BB108" s="92">
        <f t="shared" si="326"/>
        <v>4188.9989999999998</v>
      </c>
      <c r="BC108" s="92">
        <f t="shared" si="326"/>
        <v>3099.6359999999995</v>
      </c>
      <c r="BD108" s="92">
        <f t="shared" si="326"/>
        <v>1904.7170000000001</v>
      </c>
      <c r="BE108" s="989">
        <f t="shared" si="326"/>
        <v>12537.252</v>
      </c>
      <c r="BF108" s="305">
        <f t="shared" si="327" ref="BF108:BG108">BF79+BF99</f>
        <v>2589.4339999999997</v>
      </c>
      <c r="BG108" s="92">
        <f t="shared" si="327"/>
        <v>3629.3249999999998</v>
      </c>
      <c r="BH108" s="464">
        <f>BH79+BH99</f>
        <v>3341.7460000000001</v>
      </c>
      <c r="BI108" s="92">
        <f t="shared" si="326"/>
        <v>2619.7222799999995</v>
      </c>
      <c r="BJ108" s="989">
        <f t="shared" si="325"/>
        <v>12180.227280000001</v>
      </c>
      <c r="BK108" s="92">
        <f t="shared" si="328" ref="BK108:BR108">BK79+BK99</f>
        <v>2632.0379400000002</v>
      </c>
      <c r="BL108" s="92">
        <f t="shared" si="328"/>
        <v>3521.2894500000002</v>
      </c>
      <c r="BM108" s="92">
        <f t="shared" si="328"/>
        <v>3751.0497149999997</v>
      </c>
      <c r="BN108" s="92">
        <f t="shared" si="328"/>
        <v>2750.7083939999998</v>
      </c>
      <c r="BO108" s="989">
        <f t="shared" si="328"/>
        <v>12655.085499000001</v>
      </c>
      <c r="BP108" s="989">
        <f t="shared" si="328"/>
        <v>13203.715257810001</v>
      </c>
      <c r="BQ108" s="989">
        <f t="shared" si="328"/>
        <v>13462.454728518602</v>
      </c>
      <c r="BR108" s="989">
        <f t="shared" si="328"/>
        <v>13866.32837037416</v>
      </c>
      <c r="BS108" s="305"/>
    </row>
    <row r="109" spans="1:71" s="300" customFormat="1" ht="15">
      <c r="A109" s="166" t="s">
        <v>792</v>
      </c>
      <c r="B109" s="233"/>
      <c r="C109" s="989">
        <f t="shared" si="329" ref="C109:AQ109">C85+C100</f>
        <v>0</v>
      </c>
      <c r="D109" s="989">
        <f t="shared" si="329"/>
        <v>0</v>
      </c>
      <c r="E109" s="989">
        <f t="shared" si="329"/>
        <v>0</v>
      </c>
      <c r="F109" s="989">
        <f t="shared" si="329"/>
        <v>0</v>
      </c>
      <c r="G109" s="989">
        <f t="shared" si="329"/>
        <v>0</v>
      </c>
      <c r="H109" s="92">
        <f t="shared" si="329"/>
        <v>0</v>
      </c>
      <c r="I109" s="92">
        <f t="shared" si="329"/>
        <v>0</v>
      </c>
      <c r="J109" s="92">
        <f t="shared" si="329"/>
        <v>0</v>
      </c>
      <c r="K109" s="92">
        <f t="shared" si="329"/>
        <v>0</v>
      </c>
      <c r="L109" s="989">
        <f t="shared" si="329"/>
        <v>0</v>
      </c>
      <c r="M109" s="92">
        <f t="shared" si="329"/>
        <v>0</v>
      </c>
      <c r="N109" s="92">
        <f t="shared" si="329"/>
        <v>0</v>
      </c>
      <c r="O109" s="92">
        <f t="shared" si="329"/>
        <v>0</v>
      </c>
      <c r="P109" s="92">
        <f t="shared" si="329"/>
        <v>0</v>
      </c>
      <c r="Q109" s="989">
        <f t="shared" si="329"/>
        <v>1517.7240000000002</v>
      </c>
      <c r="R109" s="92">
        <f t="shared" si="329"/>
        <v>404.16</v>
      </c>
      <c r="S109" s="92">
        <f t="shared" si="329"/>
        <v>387.11199999999997</v>
      </c>
      <c r="T109" s="92">
        <f t="shared" si="329"/>
        <v>376.15799999999996</v>
      </c>
      <c r="U109" s="92">
        <f t="shared" si="329"/>
        <v>372.7700000000001</v>
      </c>
      <c r="V109" s="989">
        <f t="shared" si="329"/>
        <v>1540.20</v>
      </c>
      <c r="W109" s="92">
        <f t="shared" si="329"/>
        <v>406.00200000000001</v>
      </c>
      <c r="X109" s="92">
        <f t="shared" si="329"/>
        <v>391.964</v>
      </c>
      <c r="Y109" s="92">
        <f t="shared" si="329"/>
        <v>453.92600000000004</v>
      </c>
      <c r="Z109" s="92">
        <f t="shared" si="329"/>
        <v>373.85799999999995</v>
      </c>
      <c r="AA109" s="989">
        <f t="shared" si="329"/>
        <v>1625.75</v>
      </c>
      <c r="AB109" s="92">
        <f t="shared" si="329"/>
        <v>393.82799999999997</v>
      </c>
      <c r="AC109" s="92">
        <f t="shared" si="329"/>
        <v>389.935</v>
      </c>
      <c r="AD109" s="92">
        <f t="shared" si="329"/>
        <v>441.805</v>
      </c>
      <c r="AE109" s="92">
        <f t="shared" si="329"/>
        <v>472.14400000000023</v>
      </c>
      <c r="AF109" s="989">
        <f t="shared" si="329"/>
        <v>1697.712</v>
      </c>
      <c r="AG109" s="92">
        <f t="shared" si="329"/>
        <v>425.952</v>
      </c>
      <c r="AH109" s="92">
        <f t="shared" si="329"/>
        <v>414.87599999999998</v>
      </c>
      <c r="AI109" s="92">
        <f t="shared" si="329"/>
        <v>418.81700000000001</v>
      </c>
      <c r="AJ109" s="92">
        <f t="shared" si="329"/>
        <v>378.035</v>
      </c>
      <c r="AK109" s="989">
        <f t="shared" si="329"/>
        <v>1637.6799999999998</v>
      </c>
      <c r="AL109" s="92">
        <f t="shared" si="329"/>
        <v>381.03900000000004</v>
      </c>
      <c r="AM109" s="92">
        <f t="shared" si="329"/>
        <v>434.98</v>
      </c>
      <c r="AN109" s="92">
        <f t="shared" si="329"/>
        <v>444.20400000000001</v>
      </c>
      <c r="AO109" s="92">
        <f t="shared" si="329"/>
        <v>393.95500000000004</v>
      </c>
      <c r="AP109" s="989">
        <f t="shared" si="329"/>
        <v>1654.1779999999999</v>
      </c>
      <c r="AQ109" s="92">
        <f t="shared" si="329"/>
        <v>472.17500000000007</v>
      </c>
      <c r="AR109" s="92">
        <f t="shared" si="330" ref="AR109:AW109">AR85+AR100</f>
        <v>480.07500000000005</v>
      </c>
      <c r="AS109" s="92">
        <f t="shared" si="330"/>
        <v>480.88300000000004</v>
      </c>
      <c r="AT109" s="92">
        <f t="shared" si="330"/>
        <v>411.24299999999994</v>
      </c>
      <c r="AU109" s="989">
        <f t="shared" si="330"/>
        <v>1844.376</v>
      </c>
      <c r="AV109" s="92">
        <f t="shared" si="330"/>
        <v>512.94600000000003</v>
      </c>
      <c r="AW109" s="92">
        <f t="shared" si="330"/>
        <v>534.10</v>
      </c>
      <c r="AX109" s="92">
        <f t="shared" si="331" ref="AX109:BJ109">AX85+AX100</f>
        <v>550.26</v>
      </c>
      <c r="AY109" s="92">
        <f t="shared" si="331"/>
        <v>650.21300000000019</v>
      </c>
      <c r="AZ109" s="989">
        <f t="shared" si="331"/>
        <v>2247.5190000000002</v>
      </c>
      <c r="BA109" s="92">
        <f t="shared" si="332" ref="BA109:BI109">BA85+BA100</f>
        <v>650.79599999999994</v>
      </c>
      <c r="BB109" s="92">
        <f t="shared" si="332"/>
        <v>656.85300000000007</v>
      </c>
      <c r="BC109" s="92">
        <f t="shared" si="332"/>
        <v>601.92000000000007</v>
      </c>
      <c r="BD109" s="92">
        <f t="shared" si="332"/>
        <v>515.62299999999971</v>
      </c>
      <c r="BE109" s="989">
        <f t="shared" si="332"/>
        <v>2425.192</v>
      </c>
      <c r="BF109" s="305">
        <f t="shared" si="333" ref="BF109:BG109">BF85+BF100</f>
        <v>651.75100000000009</v>
      </c>
      <c r="BG109" s="92">
        <f t="shared" si="333"/>
        <v>755.67800000000011</v>
      </c>
      <c r="BH109" s="464">
        <f>BH85+BH100</f>
        <v>735.95</v>
      </c>
      <c r="BI109" s="92">
        <f t="shared" si="332"/>
        <v>516.61189999999999</v>
      </c>
      <c r="BJ109" s="989">
        <f t="shared" si="331"/>
        <v>2659.9908999999998</v>
      </c>
      <c r="BK109" s="92">
        <f t="shared" si="334" ref="BK109:BR109">BK85+BK100</f>
        <v>607.83029999999997</v>
      </c>
      <c r="BL109" s="92">
        <f t="shared" si="334"/>
        <v>778.20697500000006</v>
      </c>
      <c r="BM109" s="92">
        <f t="shared" si="334"/>
        <v>752.42023500000005</v>
      </c>
      <c r="BN109" s="92">
        <f t="shared" si="334"/>
        <v>542.44249500000001</v>
      </c>
      <c r="BO109" s="989">
        <f t="shared" si="334"/>
        <v>2680.9000049999995</v>
      </c>
      <c r="BP109" s="989">
        <f t="shared" si="334"/>
        <v>2789.5038113249998</v>
      </c>
      <c r="BQ109" s="989">
        <f t="shared" si="334"/>
        <v>2844.1668153045002</v>
      </c>
      <c r="BR109" s="989">
        <f t="shared" si="334"/>
        <v>2929.4918197636352</v>
      </c>
      <c r="BS109" s="305"/>
    </row>
    <row r="110" spans="1:71" s="300" customFormat="1" ht="15">
      <c r="A110" s="166" t="s">
        <v>793</v>
      </c>
      <c r="B110" s="233"/>
      <c r="C110" s="989">
        <f t="shared" si="335" ref="C110:AQ110">C91+C101</f>
        <v>0</v>
      </c>
      <c r="D110" s="989">
        <f t="shared" si="335"/>
        <v>0</v>
      </c>
      <c r="E110" s="989">
        <f t="shared" si="335"/>
        <v>0</v>
      </c>
      <c r="F110" s="989">
        <f t="shared" si="335"/>
        <v>0</v>
      </c>
      <c r="G110" s="989">
        <f t="shared" si="335"/>
        <v>0</v>
      </c>
      <c r="H110" s="92">
        <f t="shared" si="335"/>
        <v>0</v>
      </c>
      <c r="I110" s="92">
        <f t="shared" si="335"/>
        <v>0</v>
      </c>
      <c r="J110" s="92">
        <f t="shared" si="335"/>
        <v>0</v>
      </c>
      <c r="K110" s="92">
        <f t="shared" si="335"/>
        <v>0</v>
      </c>
      <c r="L110" s="989">
        <f t="shared" si="335"/>
        <v>0</v>
      </c>
      <c r="M110" s="92">
        <f t="shared" si="335"/>
        <v>0</v>
      </c>
      <c r="N110" s="92">
        <f t="shared" si="335"/>
        <v>0</v>
      </c>
      <c r="O110" s="92">
        <f t="shared" si="335"/>
        <v>0</v>
      </c>
      <c r="P110" s="92">
        <f t="shared" si="335"/>
        <v>0</v>
      </c>
      <c r="Q110" s="989">
        <f t="shared" si="335"/>
        <v>549.78</v>
      </c>
      <c r="R110" s="92">
        <f t="shared" si="335"/>
        <v>156.99299999999999</v>
      </c>
      <c r="S110" s="92">
        <f t="shared" si="335"/>
        <v>170.053</v>
      </c>
      <c r="T110" s="92">
        <f t="shared" si="335"/>
        <v>146.05000000000001</v>
      </c>
      <c r="U110" s="92">
        <f t="shared" si="335"/>
        <v>142.70600000000002</v>
      </c>
      <c r="V110" s="989">
        <f t="shared" si="335"/>
        <v>615.80199999999991</v>
      </c>
      <c r="W110" s="92">
        <f t="shared" si="335"/>
        <v>129</v>
      </c>
      <c r="X110" s="92">
        <f t="shared" si="335"/>
        <v>120.00599999999999</v>
      </c>
      <c r="Y110" s="92">
        <f t="shared" si="335"/>
        <v>139.00399999999999</v>
      </c>
      <c r="Z110" s="92">
        <f t="shared" si="335"/>
        <v>125.79999999999995</v>
      </c>
      <c r="AA110" s="989">
        <f t="shared" si="335"/>
        <v>513.80999999999995</v>
      </c>
      <c r="AB110" s="92">
        <f t="shared" si="335"/>
        <v>141.98400000000001</v>
      </c>
      <c r="AC110" s="92">
        <f t="shared" si="335"/>
        <v>200.97</v>
      </c>
      <c r="AD110" s="92">
        <f t="shared" si="335"/>
        <v>218.06400000000002</v>
      </c>
      <c r="AE110" s="92">
        <f t="shared" si="335"/>
        <v>177.16699999999992</v>
      </c>
      <c r="AF110" s="989">
        <f t="shared" si="335"/>
        <v>738.185</v>
      </c>
      <c r="AG110" s="92">
        <f t="shared" si="335"/>
        <v>176.04600000000002</v>
      </c>
      <c r="AH110" s="92">
        <f t="shared" si="335"/>
        <v>233.006</v>
      </c>
      <c r="AI110" s="92">
        <f t="shared" si="335"/>
        <v>235.05600000000001</v>
      </c>
      <c r="AJ110" s="92">
        <f t="shared" si="335"/>
        <v>223.77999999999989</v>
      </c>
      <c r="AK110" s="989">
        <f t="shared" si="335"/>
        <v>867.88799999999992</v>
      </c>
      <c r="AL110" s="92">
        <f t="shared" si="335"/>
        <v>212.98599999999999</v>
      </c>
      <c r="AM110" s="92">
        <f t="shared" si="335"/>
        <v>169.971</v>
      </c>
      <c r="AN110" s="92">
        <f t="shared" si="335"/>
        <v>197.09100000000001</v>
      </c>
      <c r="AO110" s="92">
        <f t="shared" si="335"/>
        <v>223.00099999999989</v>
      </c>
      <c r="AP110" s="989">
        <f t="shared" si="335"/>
        <v>803.04899999999998</v>
      </c>
      <c r="AQ110" s="92">
        <f t="shared" si="335"/>
        <v>192.09</v>
      </c>
      <c r="AR110" s="92">
        <f t="shared" si="336" ref="AR110:BJ110">AR91+AR101</f>
        <v>221.08800000000002</v>
      </c>
      <c r="AS110" s="92">
        <f t="shared" si="336"/>
        <v>258.06</v>
      </c>
      <c r="AT110" s="92">
        <f t="shared" si="336"/>
        <v>313.71899999999988</v>
      </c>
      <c r="AU110" s="989">
        <f t="shared" si="336"/>
        <v>984.95699999999988</v>
      </c>
      <c r="AV110" s="92">
        <f t="shared" si="336"/>
        <v>305.07400000000001</v>
      </c>
      <c r="AW110" s="92">
        <f t="shared" si="336"/>
        <v>430.11</v>
      </c>
      <c r="AX110" s="92">
        <f t="shared" si="336"/>
        <v>412.92</v>
      </c>
      <c r="AY110" s="92">
        <f t="shared" si="336"/>
        <v>438.69499999999994</v>
      </c>
      <c r="AZ110" s="989">
        <f t="shared" si="336"/>
        <v>1586.799</v>
      </c>
      <c r="BA110" s="92">
        <f t="shared" si="337" ref="BA110:BB113">BA91+BA101</f>
        <v>292.08800000000002</v>
      </c>
      <c r="BB110" s="92">
        <f t="shared" si="337"/>
        <v>263.00400000000002</v>
      </c>
      <c r="BC110" s="92">
        <f t="shared" si="338" ref="BC110:BI113">BC91+BC101</f>
        <v>253.946</v>
      </c>
      <c r="BD110" s="92">
        <f t="shared" si="338"/>
        <v>267.15899999999999</v>
      </c>
      <c r="BE110" s="989">
        <f t="shared" si="338"/>
        <v>1076.1970000000001</v>
      </c>
      <c r="BF110" s="305">
        <f t="shared" si="338"/>
        <v>238.96599999999998</v>
      </c>
      <c r="BG110" s="92">
        <f t="shared" si="338"/>
        <v>295.93400000000003</v>
      </c>
      <c r="BH110" s="464">
        <f>BH91+BH101</f>
        <v>167.006</v>
      </c>
      <c r="BI110" s="92">
        <f t="shared" si="338"/>
        <v>228.00901500000006</v>
      </c>
      <c r="BJ110" s="989">
        <f t="shared" si="336"/>
        <v>929.91501500000004</v>
      </c>
      <c r="BK110" s="92">
        <f t="shared" si="339" ref="BK110:BR113">BK91+BK101</f>
        <v>183.36265500000002</v>
      </c>
      <c r="BL110" s="92">
        <f t="shared" si="339"/>
        <v>167.46974999999998</v>
      </c>
      <c r="BM110" s="92">
        <f t="shared" si="339"/>
        <v>121.46316000000002</v>
      </c>
      <c r="BN110" s="92">
        <f t="shared" si="339"/>
        <v>187.84435005000006</v>
      </c>
      <c r="BO110" s="989">
        <f t="shared" si="339"/>
        <v>660.13991505000001</v>
      </c>
      <c r="BP110" s="989">
        <f t="shared" si="339"/>
        <v>650.33628499350016</v>
      </c>
      <c r="BQ110" s="989">
        <f t="shared" si="339"/>
        <v>669.84637354330494</v>
      </c>
      <c r="BR110" s="989">
        <f t="shared" si="339"/>
        <v>689.94176474960409</v>
      </c>
      <c r="BS110" s="305"/>
    </row>
    <row r="111" spans="1:71" s="300" customFormat="1" ht="15">
      <c r="A111" s="166" t="s">
        <v>811</v>
      </c>
      <c r="B111" s="233"/>
      <c r="C111" s="989">
        <f t="shared" si="340" ref="C111:AQ111">C92+C102</f>
        <v>0</v>
      </c>
      <c r="D111" s="989">
        <f t="shared" si="340"/>
        <v>0</v>
      </c>
      <c r="E111" s="989">
        <f t="shared" si="340"/>
        <v>0</v>
      </c>
      <c r="F111" s="989">
        <f t="shared" si="340"/>
        <v>0</v>
      </c>
      <c r="G111" s="989">
        <f t="shared" si="340"/>
        <v>0</v>
      </c>
      <c r="H111" s="92">
        <f t="shared" si="340"/>
        <v>0</v>
      </c>
      <c r="I111" s="92">
        <f t="shared" si="340"/>
        <v>0</v>
      </c>
      <c r="J111" s="92">
        <f t="shared" si="340"/>
        <v>0</v>
      </c>
      <c r="K111" s="92">
        <f t="shared" si="340"/>
        <v>0</v>
      </c>
      <c r="L111" s="989">
        <f t="shared" si="340"/>
        <v>0</v>
      </c>
      <c r="M111" s="92">
        <f t="shared" si="340"/>
        <v>0</v>
      </c>
      <c r="N111" s="92">
        <f t="shared" si="340"/>
        <v>0</v>
      </c>
      <c r="O111" s="92">
        <f t="shared" si="340"/>
        <v>0</v>
      </c>
      <c r="P111" s="92">
        <f t="shared" si="340"/>
        <v>0</v>
      </c>
      <c r="Q111" s="989">
        <f t="shared" si="340"/>
        <v>263.10899999999998</v>
      </c>
      <c r="R111" s="92">
        <f t="shared" si="340"/>
        <v>0</v>
      </c>
      <c r="S111" s="92">
        <f t="shared" si="340"/>
        <v>0</v>
      </c>
      <c r="T111" s="92">
        <f t="shared" si="340"/>
        <v>0</v>
      </c>
      <c r="U111" s="92">
        <f t="shared" si="340"/>
        <v>0</v>
      </c>
      <c r="V111" s="989">
        <f t="shared" si="340"/>
        <v>0</v>
      </c>
      <c r="W111" s="92">
        <f t="shared" si="340"/>
        <v>0</v>
      </c>
      <c r="X111" s="92">
        <f t="shared" si="340"/>
        <v>0</v>
      </c>
      <c r="Y111" s="92">
        <f t="shared" si="340"/>
        <v>0</v>
      </c>
      <c r="Z111" s="92">
        <f t="shared" si="340"/>
        <v>0</v>
      </c>
      <c r="AA111" s="989">
        <f t="shared" si="340"/>
        <v>0</v>
      </c>
      <c r="AB111" s="92">
        <f t="shared" si="340"/>
        <v>0</v>
      </c>
      <c r="AC111" s="92">
        <f t="shared" si="340"/>
        <v>0</v>
      </c>
      <c r="AD111" s="92">
        <f t="shared" si="340"/>
        <v>0</v>
      </c>
      <c r="AE111" s="92">
        <f t="shared" si="340"/>
        <v>0</v>
      </c>
      <c r="AF111" s="989">
        <f t="shared" si="340"/>
        <v>0</v>
      </c>
      <c r="AG111" s="92">
        <f t="shared" si="340"/>
        <v>0</v>
      </c>
      <c r="AH111" s="92">
        <f t="shared" si="340"/>
        <v>0</v>
      </c>
      <c r="AI111" s="92">
        <f t="shared" si="340"/>
        <v>0</v>
      </c>
      <c r="AJ111" s="92">
        <f t="shared" si="340"/>
        <v>0</v>
      </c>
      <c r="AK111" s="989">
        <f t="shared" si="340"/>
        <v>0</v>
      </c>
      <c r="AL111" s="92">
        <f t="shared" si="340"/>
        <v>0</v>
      </c>
      <c r="AM111" s="92">
        <f t="shared" si="340"/>
        <v>0</v>
      </c>
      <c r="AN111" s="92">
        <f t="shared" si="340"/>
        <v>0</v>
      </c>
      <c r="AO111" s="92">
        <f t="shared" si="340"/>
        <v>0</v>
      </c>
      <c r="AP111" s="989">
        <f t="shared" si="340"/>
        <v>0</v>
      </c>
      <c r="AQ111" s="92">
        <f t="shared" si="340"/>
        <v>0</v>
      </c>
      <c r="AR111" s="92">
        <f t="shared" si="341" ref="AR111:BJ111">AR92+AR102</f>
        <v>0</v>
      </c>
      <c r="AS111" s="92">
        <f t="shared" si="341"/>
        <v>0</v>
      </c>
      <c r="AT111" s="92">
        <f t="shared" si="341"/>
        <v>0</v>
      </c>
      <c r="AU111" s="989">
        <f t="shared" si="341"/>
        <v>0</v>
      </c>
      <c r="AV111" s="92">
        <f t="shared" si="341"/>
        <v>82.037999999999997</v>
      </c>
      <c r="AW111" s="92">
        <f t="shared" si="341"/>
        <v>89.04</v>
      </c>
      <c r="AX111" s="92">
        <f t="shared" si="341"/>
        <v>131.05199999999999</v>
      </c>
      <c r="AY111" s="92">
        <f t="shared" si="341"/>
        <v>86.647999999999996</v>
      </c>
      <c r="AZ111" s="989">
        <f t="shared" si="341"/>
        <v>388.77800000000002</v>
      </c>
      <c r="BA111" s="92">
        <f t="shared" si="337"/>
        <v>93.972000000000008</v>
      </c>
      <c r="BB111" s="92">
        <f t="shared" si="337"/>
        <v>107.00800000000001</v>
      </c>
      <c r="BC111" s="92">
        <f t="shared" si="338"/>
        <v>125.97200000000001</v>
      </c>
      <c r="BD111" s="92">
        <f t="shared" si="338"/>
        <v>108.09799999999996</v>
      </c>
      <c r="BE111" s="989">
        <f t="shared" si="338"/>
        <v>435.04999999999995</v>
      </c>
      <c r="BF111" s="305">
        <f t="shared" si="338"/>
        <v>91.98</v>
      </c>
      <c r="BG111" s="92">
        <f t="shared" si="338"/>
        <v>94.024000000000001</v>
      </c>
      <c r="BH111" s="464">
        <f>BH92+BH102</f>
        <v>112.024</v>
      </c>
      <c r="BI111" s="92">
        <f t="shared" si="338"/>
        <v>93.10</v>
      </c>
      <c r="BJ111" s="989">
        <f t="shared" si="341"/>
        <v>391.12800000000004</v>
      </c>
      <c r="BK111" s="92">
        <f t="shared" si="339"/>
        <v>93.10</v>
      </c>
      <c r="BL111" s="92">
        <f t="shared" si="339"/>
        <v>93.10</v>
      </c>
      <c r="BM111" s="92">
        <f t="shared" si="339"/>
        <v>93.10</v>
      </c>
      <c r="BN111" s="92">
        <f t="shared" si="339"/>
        <v>93.10</v>
      </c>
      <c r="BO111" s="989">
        <f t="shared" si="339"/>
        <v>372.40</v>
      </c>
      <c r="BP111" s="989">
        <f t="shared" si="339"/>
        <v>372.40</v>
      </c>
      <c r="BQ111" s="989">
        <f t="shared" si="339"/>
        <v>372.40</v>
      </c>
      <c r="BR111" s="989">
        <f t="shared" si="339"/>
        <v>372.40</v>
      </c>
      <c r="BS111" s="305"/>
    </row>
    <row r="112" spans="1:71" s="300" customFormat="1" ht="15">
      <c r="A112" s="580" t="s">
        <v>329</v>
      </c>
      <c r="B112" s="481"/>
      <c r="C112" s="994">
        <f t="shared" si="342" ref="C112:AQ112">C93+C103</f>
        <v>25173.395</v>
      </c>
      <c r="D112" s="994">
        <f t="shared" si="342"/>
        <v>25435.900000000001</v>
      </c>
      <c r="E112" s="994">
        <f t="shared" si="342"/>
        <v>26798.086000000003</v>
      </c>
      <c r="F112" s="994">
        <f t="shared" si="342"/>
        <v>25480.360999999997</v>
      </c>
      <c r="G112" s="994">
        <f t="shared" si="342"/>
        <v>25270.470000000001</v>
      </c>
      <c r="H112" s="239">
        <f t="shared" si="342"/>
        <v>6689.6080000000002</v>
      </c>
      <c r="I112" s="239">
        <f t="shared" si="342"/>
        <v>7009.4919999999993</v>
      </c>
      <c r="J112" s="239">
        <f t="shared" si="342"/>
        <v>6728.826</v>
      </c>
      <c r="K112" s="239">
        <f t="shared" si="342"/>
        <v>6619.7540000000026</v>
      </c>
      <c r="L112" s="994">
        <f t="shared" si="342"/>
        <v>27047.680000000004</v>
      </c>
      <c r="M112" s="239">
        <f t="shared" si="342"/>
        <v>6958.1620000000003</v>
      </c>
      <c r="N112" s="239">
        <f t="shared" si="342"/>
        <v>7556.549</v>
      </c>
      <c r="O112" s="239">
        <f t="shared" si="342"/>
        <v>7106.8500000000004</v>
      </c>
      <c r="P112" s="239">
        <f t="shared" si="342"/>
        <v>6747.6630000000023</v>
      </c>
      <c r="Q112" s="994">
        <f t="shared" si="342"/>
        <v>28369.224000000002</v>
      </c>
      <c r="R112" s="239">
        <f t="shared" si="342"/>
        <v>7458.72</v>
      </c>
      <c r="S112" s="239">
        <f t="shared" si="342"/>
        <v>7733.3760000000002</v>
      </c>
      <c r="T112" s="239">
        <f t="shared" si="342"/>
        <v>7271.2979999999998</v>
      </c>
      <c r="U112" s="239">
        <f t="shared" si="342"/>
        <v>6942.3449999999975</v>
      </c>
      <c r="V112" s="994">
        <f t="shared" si="342"/>
        <v>29405.739000000001</v>
      </c>
      <c r="W112" s="239">
        <f t="shared" si="342"/>
        <v>7208.1109999999999</v>
      </c>
      <c r="X112" s="239">
        <f t="shared" si="342"/>
        <v>7533.7549999999992</v>
      </c>
      <c r="Y112" s="239">
        <f t="shared" si="342"/>
        <v>7327.4880000000003</v>
      </c>
      <c r="Z112" s="239">
        <f t="shared" si="342"/>
        <v>7257.6350000000029</v>
      </c>
      <c r="AA112" s="994">
        <f t="shared" si="342"/>
        <v>29326.989000000001</v>
      </c>
      <c r="AB112" s="239">
        <f t="shared" si="342"/>
        <v>7008.6059999999998</v>
      </c>
      <c r="AC112" s="239">
        <f t="shared" si="342"/>
        <v>7730.4159999999993</v>
      </c>
      <c r="AD112" s="239">
        <f t="shared" si="342"/>
        <v>7729.2800000000007</v>
      </c>
      <c r="AE112" s="239">
        <f t="shared" si="342"/>
        <v>8142.2480000000032</v>
      </c>
      <c r="AF112" s="994">
        <f t="shared" si="342"/>
        <v>30610.550000000003</v>
      </c>
      <c r="AG112" s="239">
        <f t="shared" si="342"/>
        <v>7800.9189999999999</v>
      </c>
      <c r="AH112" s="239">
        <f t="shared" si="342"/>
        <v>8307.7170000000006</v>
      </c>
      <c r="AI112" s="239">
        <f t="shared" si="342"/>
        <v>7947.71</v>
      </c>
      <c r="AJ112" s="239">
        <f t="shared" si="342"/>
        <v>7859.8420000000015</v>
      </c>
      <c r="AK112" s="994">
        <f t="shared" si="342"/>
        <v>31916.188000000002</v>
      </c>
      <c r="AL112" s="239">
        <f t="shared" si="342"/>
        <v>7531.0879999999997</v>
      </c>
      <c r="AM112" s="239">
        <f t="shared" si="342"/>
        <v>7958.9740000000002</v>
      </c>
      <c r="AN112" s="239">
        <f t="shared" si="342"/>
        <v>8065.7520000000004</v>
      </c>
      <c r="AO112" s="239">
        <f t="shared" si="342"/>
        <v>7473.7530000000015</v>
      </c>
      <c r="AP112" s="994">
        <f t="shared" si="342"/>
        <v>31029.567000000003</v>
      </c>
      <c r="AQ112" s="239">
        <f t="shared" si="342"/>
        <v>8233.4719999999998</v>
      </c>
      <c r="AR112" s="239">
        <f t="shared" si="343" ref="AR112:BJ112">AR93+AR103</f>
        <v>9578.6129999999994</v>
      </c>
      <c r="AS112" s="239">
        <f t="shared" si="343"/>
        <v>10575.519</v>
      </c>
      <c r="AT112" s="239">
        <f t="shared" si="343"/>
        <v>10286.419999999998</v>
      </c>
      <c r="AU112" s="994">
        <f t="shared" si="343"/>
        <v>38674.023999999998</v>
      </c>
      <c r="AV112" s="239">
        <f t="shared" si="343"/>
        <v>10214.554</v>
      </c>
      <c r="AW112" s="239">
        <f t="shared" si="343"/>
        <v>11733.046</v>
      </c>
      <c r="AX112" s="239">
        <f t="shared" si="343"/>
        <v>12328.485000000001</v>
      </c>
      <c r="AY112" s="239">
        <f t="shared" si="343"/>
        <v>12399.182000000001</v>
      </c>
      <c r="AZ112" s="994">
        <f t="shared" si="343"/>
        <v>46675.267</v>
      </c>
      <c r="BA112" s="239">
        <f t="shared" si="337"/>
        <v>12635.610000000001</v>
      </c>
      <c r="BB112" s="239">
        <f t="shared" si="337"/>
        <v>14007.174999999999</v>
      </c>
      <c r="BC112" s="239">
        <f t="shared" si="338"/>
        <v>12601.289999999999</v>
      </c>
      <c r="BD112" s="239">
        <f t="shared" si="338"/>
        <v>11265.286</v>
      </c>
      <c r="BE112" s="994">
        <f t="shared" si="338"/>
        <v>50509.360999999997</v>
      </c>
      <c r="BF112" s="116">
        <f t="shared" si="338"/>
        <v>11997</v>
      </c>
      <c r="BG112" s="239">
        <f t="shared" si="338"/>
        <v>13485.729000000001</v>
      </c>
      <c r="BH112" s="642">
        <f>BH93+BH103</f>
        <v>13132.545999999998</v>
      </c>
      <c r="BI112" s="239">
        <f t="shared" si="338"/>
        <v>12430.087505</v>
      </c>
      <c r="BJ112" s="994">
        <f t="shared" si="343"/>
        <v>51055.506504999998</v>
      </c>
      <c r="BK112" s="239">
        <f t="shared" si="339"/>
        <v>12982.630012</v>
      </c>
      <c r="BL112" s="239">
        <f t="shared" si="339"/>
        <v>14862.437419000002</v>
      </c>
      <c r="BM112" s="239">
        <f t="shared" si="339"/>
        <v>14887.856719000001</v>
      </c>
      <c r="BN112" s="239">
        <f t="shared" si="339"/>
        <v>13231.51940005</v>
      </c>
      <c r="BO112" s="994">
        <f t="shared" si="339"/>
        <v>55964.443550049997</v>
      </c>
      <c r="BP112" s="994">
        <f t="shared" si="339"/>
        <v>55542.297402146505</v>
      </c>
      <c r="BQ112" s="994">
        <f t="shared" si="339"/>
        <v>57031.000226824952</v>
      </c>
      <c r="BR112" s="994">
        <f t="shared" si="339"/>
        <v>58730.758233629698</v>
      </c>
      <c r="BS112" s="305"/>
    </row>
    <row r="113" spans="1:71" s="300" customFormat="1" ht="15">
      <c r="A113" s="105" t="s">
        <v>754</v>
      </c>
      <c r="B113" s="113"/>
      <c r="C113" s="998">
        <f t="shared" si="344" ref="C113:AQ113">C94+C104</f>
        <v>31</v>
      </c>
      <c r="D113" s="998">
        <f t="shared" si="344"/>
        <v>33</v>
      </c>
      <c r="E113" s="998">
        <f t="shared" si="344"/>
        <v>25</v>
      </c>
      <c r="F113" s="998">
        <f t="shared" si="344"/>
        <v>53</v>
      </c>
      <c r="G113" s="998">
        <f t="shared" si="344"/>
        <v>143</v>
      </c>
      <c r="H113" s="58">
        <f t="shared" si="344"/>
        <v>3</v>
      </c>
      <c r="I113" s="58">
        <f t="shared" si="344"/>
        <v>3</v>
      </c>
      <c r="J113" s="58">
        <f t="shared" si="344"/>
        <v>106</v>
      </c>
      <c r="K113" s="58">
        <f t="shared" si="344"/>
        <v>4</v>
      </c>
      <c r="L113" s="998">
        <f t="shared" si="344"/>
        <v>116</v>
      </c>
      <c r="M113" s="58">
        <f t="shared" si="344"/>
        <v>2</v>
      </c>
      <c r="N113" s="58">
        <f t="shared" si="344"/>
        <v>2</v>
      </c>
      <c r="O113" s="58">
        <f t="shared" si="344"/>
        <v>49</v>
      </c>
      <c r="P113" s="58">
        <f t="shared" si="344"/>
        <v>2</v>
      </c>
      <c r="Q113" s="998">
        <f t="shared" si="344"/>
        <v>55</v>
      </c>
      <c r="R113" s="58">
        <f t="shared" si="344"/>
        <v>2</v>
      </c>
      <c r="S113" s="58">
        <f t="shared" si="344"/>
        <v>2</v>
      </c>
      <c r="T113" s="58">
        <f t="shared" si="344"/>
        <v>100</v>
      </c>
      <c r="U113" s="58">
        <f t="shared" si="344"/>
        <v>3</v>
      </c>
      <c r="V113" s="998">
        <f t="shared" si="344"/>
        <v>107</v>
      </c>
      <c r="W113" s="58">
        <f t="shared" si="344"/>
        <v>2</v>
      </c>
      <c r="X113" s="58">
        <f t="shared" si="344"/>
        <v>5</v>
      </c>
      <c r="Y113" s="58">
        <f t="shared" si="344"/>
        <v>88</v>
      </c>
      <c r="Z113" s="58">
        <f t="shared" si="344"/>
        <v>4</v>
      </c>
      <c r="AA113" s="998">
        <f t="shared" si="344"/>
        <v>99</v>
      </c>
      <c r="AB113" s="58">
        <f t="shared" si="344"/>
        <v>3</v>
      </c>
      <c r="AC113" s="58">
        <f t="shared" si="344"/>
        <v>3</v>
      </c>
      <c r="AD113" s="58">
        <f t="shared" si="344"/>
        <v>80</v>
      </c>
      <c r="AE113" s="58">
        <f t="shared" si="344"/>
        <v>4</v>
      </c>
      <c r="AF113" s="998">
        <f t="shared" si="344"/>
        <v>90</v>
      </c>
      <c r="AG113" s="58">
        <f t="shared" si="344"/>
        <v>3</v>
      </c>
      <c r="AH113" s="58">
        <f t="shared" si="344"/>
        <v>3</v>
      </c>
      <c r="AI113" s="58">
        <f t="shared" si="344"/>
        <v>99</v>
      </c>
      <c r="AJ113" s="58">
        <f t="shared" si="344"/>
        <v>3</v>
      </c>
      <c r="AK113" s="998">
        <f t="shared" si="344"/>
        <v>108</v>
      </c>
      <c r="AL113" s="58">
        <f t="shared" si="344"/>
        <v>3</v>
      </c>
      <c r="AM113" s="58">
        <f t="shared" si="344"/>
        <v>3</v>
      </c>
      <c r="AN113" s="58">
        <f t="shared" si="344"/>
        <v>135</v>
      </c>
      <c r="AO113" s="58">
        <f t="shared" si="344"/>
        <v>3</v>
      </c>
      <c r="AP113" s="998">
        <f t="shared" si="344"/>
        <v>144</v>
      </c>
      <c r="AQ113" s="58">
        <f t="shared" si="344"/>
        <v>3</v>
      </c>
      <c r="AR113" s="58">
        <f t="shared" si="345" ref="AR113:BJ113">AR94+AR104</f>
        <v>2</v>
      </c>
      <c r="AS113" s="58">
        <f t="shared" si="345"/>
        <v>113</v>
      </c>
      <c r="AT113" s="58">
        <f t="shared" si="345"/>
        <v>2</v>
      </c>
      <c r="AU113" s="998">
        <f t="shared" si="345"/>
        <v>120</v>
      </c>
      <c r="AV113" s="58">
        <f t="shared" si="345"/>
        <v>2</v>
      </c>
      <c r="AW113" s="58">
        <f t="shared" si="345"/>
        <v>3</v>
      </c>
      <c r="AX113" s="58">
        <f t="shared" si="345"/>
        <v>122</v>
      </c>
      <c r="AY113" s="115">
        <f t="shared" si="345"/>
        <v>2</v>
      </c>
      <c r="AZ113" s="995">
        <f t="shared" si="345"/>
        <v>129</v>
      </c>
      <c r="BA113" s="58">
        <f t="shared" si="337"/>
        <v>3</v>
      </c>
      <c r="BB113" s="58">
        <f t="shared" si="337"/>
        <v>2</v>
      </c>
      <c r="BC113" s="58">
        <f t="shared" si="338"/>
        <v>83</v>
      </c>
      <c r="BD113" s="115">
        <f t="shared" si="338"/>
        <v>6</v>
      </c>
      <c r="BE113" s="995">
        <f t="shared" si="338"/>
        <v>94</v>
      </c>
      <c r="BF113" s="58">
        <f t="shared" si="338"/>
        <v>5</v>
      </c>
      <c r="BG113" s="58">
        <f t="shared" si="338"/>
        <v>3</v>
      </c>
      <c r="BH113" s="744">
        <f>BH94+BH104</f>
        <v>60</v>
      </c>
      <c r="BI113" s="115">
        <f t="shared" si="338"/>
        <v>0</v>
      </c>
      <c r="BJ113" s="995">
        <f t="shared" si="345"/>
        <v>68</v>
      </c>
      <c r="BK113" s="115">
        <f t="shared" si="339"/>
        <v>0</v>
      </c>
      <c r="BL113" s="115">
        <f t="shared" si="339"/>
        <v>0</v>
      </c>
      <c r="BM113" s="115">
        <f t="shared" si="339"/>
        <v>0</v>
      </c>
      <c r="BN113" s="115">
        <f t="shared" si="339"/>
        <v>0</v>
      </c>
      <c r="BO113" s="995">
        <f t="shared" si="339"/>
        <v>0</v>
      </c>
      <c r="BP113" s="995">
        <f t="shared" si="339"/>
        <v>0</v>
      </c>
      <c r="BQ113" s="995">
        <f t="shared" si="339"/>
        <v>0</v>
      </c>
      <c r="BR113" s="995">
        <f t="shared" si="339"/>
        <v>0</v>
      </c>
      <c r="BS113" s="305"/>
    </row>
    <row r="114" spans="1:71" s="51" customFormat="1" ht="15">
      <c r="A114" s="109" t="s">
        <v>551</v>
      </c>
      <c r="B114" s="391"/>
      <c r="C114" s="999">
        <f>SUM(C112:C113)</f>
        <v>25204.395</v>
      </c>
      <c r="D114" s="999">
        <f t="shared" si="346" ref="D114:AL114">SUM(D112:D113)</f>
        <v>25468.900000000001</v>
      </c>
      <c r="E114" s="999">
        <f t="shared" si="346"/>
        <v>26823.086000000003</v>
      </c>
      <c r="F114" s="999">
        <f t="shared" si="346"/>
        <v>25533.360999999997</v>
      </c>
      <c r="G114" s="999">
        <f t="shared" si="346"/>
        <v>25413.470000000001</v>
      </c>
      <c r="H114" s="57">
        <f t="shared" si="346"/>
        <v>6692.6080000000002</v>
      </c>
      <c r="I114" s="57">
        <f t="shared" si="346"/>
        <v>7012.4919999999993</v>
      </c>
      <c r="J114" s="57">
        <f t="shared" si="346"/>
        <v>6834.826</v>
      </c>
      <c r="K114" s="57">
        <f t="shared" si="346"/>
        <v>6623.7540000000026</v>
      </c>
      <c r="L114" s="999">
        <f t="shared" si="346"/>
        <v>27163.680000000004</v>
      </c>
      <c r="M114" s="57">
        <f t="shared" si="346"/>
        <v>6960.1620000000003</v>
      </c>
      <c r="N114" s="57">
        <f t="shared" si="346"/>
        <v>7558.549</v>
      </c>
      <c r="O114" s="57">
        <f t="shared" si="346"/>
        <v>7155.8500000000004</v>
      </c>
      <c r="P114" s="57">
        <f t="shared" si="346"/>
        <v>6749.6630000000023</v>
      </c>
      <c r="Q114" s="999">
        <f t="shared" si="346"/>
        <v>28424.224000000002</v>
      </c>
      <c r="R114" s="57">
        <f t="shared" si="346"/>
        <v>7460.72</v>
      </c>
      <c r="S114" s="57">
        <f t="shared" si="346"/>
        <v>7735.3760000000002</v>
      </c>
      <c r="T114" s="57">
        <f t="shared" si="346"/>
        <v>7371.2979999999998</v>
      </c>
      <c r="U114" s="57">
        <f t="shared" si="346"/>
        <v>6945.3449999999975</v>
      </c>
      <c r="V114" s="999">
        <f t="shared" si="346"/>
        <v>29512.739000000001</v>
      </c>
      <c r="W114" s="57">
        <f t="shared" si="346"/>
        <v>7210.1109999999999</v>
      </c>
      <c r="X114" s="57">
        <f t="shared" si="346"/>
        <v>7538.7549999999992</v>
      </c>
      <c r="Y114" s="57">
        <f t="shared" si="346"/>
        <v>7415.4880000000003</v>
      </c>
      <c r="Z114" s="57">
        <f t="shared" si="346"/>
        <v>7261.6350000000029</v>
      </c>
      <c r="AA114" s="999">
        <f t="shared" si="346"/>
        <v>29425.989000000001</v>
      </c>
      <c r="AB114" s="57">
        <f t="shared" si="346"/>
        <v>7011.6059999999998</v>
      </c>
      <c r="AC114" s="57">
        <f t="shared" si="346"/>
        <v>7733.4159999999993</v>
      </c>
      <c r="AD114" s="57">
        <f t="shared" si="346"/>
        <v>7809.2800000000007</v>
      </c>
      <c r="AE114" s="57">
        <f t="shared" si="346"/>
        <v>8146.2480000000032</v>
      </c>
      <c r="AF114" s="999">
        <f t="shared" si="346"/>
        <v>30700.550000000003</v>
      </c>
      <c r="AG114" s="57">
        <f t="shared" si="346"/>
        <v>7803.9189999999999</v>
      </c>
      <c r="AH114" s="57">
        <f t="shared" si="346"/>
        <v>8310.7170000000006</v>
      </c>
      <c r="AI114" s="57">
        <f t="shared" si="346"/>
        <v>8046.71</v>
      </c>
      <c r="AJ114" s="57">
        <f t="shared" si="346"/>
        <v>7862.8420000000015</v>
      </c>
      <c r="AK114" s="999">
        <f t="shared" si="346"/>
        <v>32024.188000000002</v>
      </c>
      <c r="AL114" s="57">
        <f t="shared" si="346"/>
        <v>7534.0879999999997</v>
      </c>
      <c r="AM114" s="57">
        <f>SUM(AM112:AM113)</f>
        <v>7961.9740000000002</v>
      </c>
      <c r="AN114" s="57">
        <f>SUM(AN112:AN113)</f>
        <v>8200.7520000000004</v>
      </c>
      <c r="AO114" s="57">
        <f t="shared" si="347" ref="AO114:AP114">SUM(AO112:AO113)</f>
        <v>7476.7530000000015</v>
      </c>
      <c r="AP114" s="999">
        <f t="shared" si="347"/>
        <v>31173.567000000003</v>
      </c>
      <c r="AQ114" s="57">
        <f t="shared" si="348" ref="AQ114:AV114">SUM(AQ112:AQ113)</f>
        <v>8236.4719999999998</v>
      </c>
      <c r="AR114" s="57">
        <f t="shared" si="348"/>
        <v>9580.6129999999994</v>
      </c>
      <c r="AS114" s="57">
        <f t="shared" si="348"/>
        <v>10688.519</v>
      </c>
      <c r="AT114" s="57">
        <f t="shared" si="348"/>
        <v>10288.419999999998</v>
      </c>
      <c r="AU114" s="999">
        <f t="shared" si="348"/>
        <v>38794.023999999998</v>
      </c>
      <c r="AV114" s="57">
        <f t="shared" si="348"/>
        <v>10216.554</v>
      </c>
      <c r="AW114" s="57">
        <f t="shared" si="349" ref="AW114:BJ114">SUM(AW112:AW113)</f>
        <v>11736.046</v>
      </c>
      <c r="AX114" s="57">
        <f t="shared" si="349"/>
        <v>12450.485000000001</v>
      </c>
      <c r="AY114" s="128">
        <f t="shared" si="349"/>
        <v>12401.182000000001</v>
      </c>
      <c r="AZ114" s="1000">
        <f t="shared" si="349"/>
        <v>46804.267</v>
      </c>
      <c r="BA114" s="57">
        <f t="shared" si="350" ref="BA114:BI114">SUM(BA112:BA113)</f>
        <v>12638.610000000001</v>
      </c>
      <c r="BB114" s="57">
        <f t="shared" si="350"/>
        <v>14009.174999999999</v>
      </c>
      <c r="BC114" s="57">
        <f t="shared" si="350"/>
        <v>12684.289999999999</v>
      </c>
      <c r="BD114" s="128">
        <f t="shared" si="350"/>
        <v>11271.286</v>
      </c>
      <c r="BE114" s="1000">
        <f t="shared" si="350"/>
        <v>50603.360999999997</v>
      </c>
      <c r="BF114" s="57">
        <f t="shared" si="351" ref="BF114:BG114">SUM(BF112:BF113)</f>
        <v>12002</v>
      </c>
      <c r="BG114" s="57">
        <f t="shared" si="351"/>
        <v>13488.729000000001</v>
      </c>
      <c r="BH114" s="745">
        <f>SUM(BH112:BH113)</f>
        <v>13192.545999999998</v>
      </c>
      <c r="BI114" s="128">
        <f t="shared" si="350"/>
        <v>12430.087505</v>
      </c>
      <c r="BJ114" s="1000">
        <f t="shared" si="349"/>
        <v>51123.506504999998</v>
      </c>
      <c r="BK114" s="128">
        <f t="shared" si="352" ref="BK114:BR114">SUM(BK112:BK113)</f>
        <v>12982.630012</v>
      </c>
      <c r="BL114" s="128">
        <f t="shared" si="352"/>
        <v>14862.437419000002</v>
      </c>
      <c r="BM114" s="128">
        <f t="shared" si="352"/>
        <v>14887.856719000001</v>
      </c>
      <c r="BN114" s="128">
        <f t="shared" si="352"/>
        <v>13231.51940005</v>
      </c>
      <c r="BO114" s="1000">
        <f t="shared" si="352"/>
        <v>55964.443550049997</v>
      </c>
      <c r="BP114" s="1000">
        <f t="shared" si="352"/>
        <v>55542.297402146505</v>
      </c>
      <c r="BQ114" s="1000">
        <f t="shared" si="352"/>
        <v>57031.000226824952</v>
      </c>
      <c r="BR114" s="1000">
        <f t="shared" si="352"/>
        <v>58730.758233629698</v>
      </c>
      <c r="BS114" s="57"/>
    </row>
    <row r="115" spans="1:71" s="51" customFormat="1" ht="15">
      <c r="A115" s="480"/>
      <c r="B115" s="391"/>
      <c r="C115" s="1000"/>
      <c r="D115" s="1000"/>
      <c r="E115" s="1000"/>
      <c r="F115" s="1000"/>
      <c r="G115" s="1000"/>
      <c r="H115" s="128"/>
      <c r="I115" s="128"/>
      <c r="J115" s="128"/>
      <c r="K115" s="128"/>
      <c r="L115" s="1000"/>
      <c r="M115" s="128"/>
      <c r="N115" s="128"/>
      <c r="O115" s="128"/>
      <c r="P115" s="128"/>
      <c r="Q115" s="1000"/>
      <c r="R115" s="128"/>
      <c r="S115" s="128"/>
      <c r="T115" s="128"/>
      <c r="U115" s="128"/>
      <c r="V115" s="1000"/>
      <c r="W115" s="128"/>
      <c r="X115" s="128"/>
      <c r="Y115" s="128"/>
      <c r="Z115" s="128"/>
      <c r="AA115" s="1000"/>
      <c r="AB115" s="128"/>
      <c r="AC115" s="128"/>
      <c r="AD115" s="128"/>
      <c r="AE115" s="128"/>
      <c r="AF115" s="1000"/>
      <c r="AG115" s="128"/>
      <c r="AH115" s="128"/>
      <c r="AI115" s="128"/>
      <c r="AJ115" s="128"/>
      <c r="AK115" s="1000"/>
      <c r="AL115" s="128"/>
      <c r="AM115" s="128"/>
      <c r="AN115" s="128"/>
      <c r="AO115" s="128"/>
      <c r="AP115" s="1000"/>
      <c r="AQ115" s="128"/>
      <c r="AR115" s="128"/>
      <c r="AS115" s="128"/>
      <c r="AT115" s="128"/>
      <c r="AU115" s="1000"/>
      <c r="AV115" s="128"/>
      <c r="AW115" s="128"/>
      <c r="AX115" s="128"/>
      <c r="AY115" s="128"/>
      <c r="AZ115" s="1000"/>
      <c r="BA115" s="128"/>
      <c r="BB115" s="128"/>
      <c r="BC115" s="128"/>
      <c r="BD115" s="128"/>
      <c r="BE115" s="1000"/>
      <c r="BF115" s="128"/>
      <c r="BG115" s="128"/>
      <c r="BH115" s="465"/>
      <c r="BI115" s="128"/>
      <c r="BJ115" s="1000"/>
      <c r="BK115" s="128"/>
      <c r="BL115" s="128"/>
      <c r="BM115" s="128"/>
      <c r="BN115" s="128"/>
      <c r="BO115" s="1000"/>
      <c r="BP115" s="1000"/>
      <c r="BQ115" s="1000"/>
      <c r="BR115" s="1000"/>
      <c r="BS115" s="57"/>
    </row>
    <row r="116" spans="1:71" s="565" customFormat="1" ht="15">
      <c r="A116" s="166" t="s">
        <v>776</v>
      </c>
      <c r="B116" s="563"/>
      <c r="C116" s="1008">
        <f>987+76</f>
        <v>1063</v>
      </c>
      <c r="D116" s="1008">
        <f>692+74</f>
        <v>766</v>
      </c>
      <c r="E116" s="1008">
        <v>663</v>
      </c>
      <c r="F116" s="1008">
        <v>469</v>
      </c>
      <c r="G116" s="1008">
        <v>668</v>
      </c>
      <c r="H116" s="903">
        <v>183</v>
      </c>
      <c r="I116" s="903">
        <v>130</v>
      </c>
      <c r="J116" s="903">
        <v>226</v>
      </c>
      <c r="K116" s="111">
        <f t="shared" si="353" ref="K116:K121">L116-H116-I116-J116</f>
        <v>65</v>
      </c>
      <c r="L116" s="1008">
        <v>604</v>
      </c>
      <c r="M116" s="903">
        <v>76</v>
      </c>
      <c r="N116" s="903">
        <v>-111</v>
      </c>
      <c r="O116" s="903">
        <v>22</v>
      </c>
      <c r="P116" s="111">
        <f t="shared" si="354" ref="P116:P121">Q116-M116-N116-O116</f>
        <v>36</v>
      </c>
      <c r="Q116" s="1008">
        <v>23</v>
      </c>
      <c r="R116" s="903">
        <v>18</v>
      </c>
      <c r="S116" s="903">
        <v>-86</v>
      </c>
      <c r="T116" s="903">
        <v>24</v>
      </c>
      <c r="U116" s="111">
        <f t="shared" si="355" ref="U116:U121">V116-R116-S116-T116</f>
        <v>200</v>
      </c>
      <c r="V116" s="1008">
        <v>156</v>
      </c>
      <c r="W116" s="903">
        <v>447</v>
      </c>
      <c r="X116" s="903">
        <v>193</v>
      </c>
      <c r="Y116" s="903">
        <v>252</v>
      </c>
      <c r="Z116" s="111">
        <f t="shared" si="356" ref="Z116:Z121">AA116-W116-X116-Y116</f>
        <v>406</v>
      </c>
      <c r="AA116" s="1008">
        <v>1298</v>
      </c>
      <c r="AB116" s="903">
        <v>617</v>
      </c>
      <c r="AC116" s="903">
        <v>399</v>
      </c>
      <c r="AD116" s="903">
        <v>394</v>
      </c>
      <c r="AE116" s="903">
        <v>381</v>
      </c>
      <c r="AF116" s="1008">
        <v>1791</v>
      </c>
      <c r="AG116" s="903">
        <v>510</v>
      </c>
      <c r="AH116" s="903">
        <v>401</v>
      </c>
      <c r="AI116" s="903">
        <v>421</v>
      </c>
      <c r="AJ116" s="903">
        <v>356</v>
      </c>
      <c r="AK116" s="1008">
        <v>1688</v>
      </c>
      <c r="AL116" s="903">
        <v>657</v>
      </c>
      <c r="AM116" s="903">
        <v>998</v>
      </c>
      <c r="AN116" s="903">
        <v>906</v>
      </c>
      <c r="AO116" s="903">
        <v>883</v>
      </c>
      <c r="AP116" s="1008">
        <v>3444</v>
      </c>
      <c r="AQ116" s="903">
        <v>1327</v>
      </c>
      <c r="AR116" s="903">
        <v>394</v>
      </c>
      <c r="AS116" s="903">
        <v>-159</v>
      </c>
      <c r="AT116" s="111">
        <f t="shared" si="357" ref="AT116:AT121">AU116-AQ116-AR116-AS116</f>
        <v>-300</v>
      </c>
      <c r="AU116" s="1008">
        <v>1262</v>
      </c>
      <c r="AV116" s="903">
        <v>-147</v>
      </c>
      <c r="AW116" s="903">
        <v>-578</v>
      </c>
      <c r="AX116" s="903">
        <v>-1315</v>
      </c>
      <c r="AY116" s="111">
        <f t="shared" si="358" ref="AY116:AY121">AZ116-AV116-AW116-AX116</f>
        <v>-974</v>
      </c>
      <c r="AZ116" s="1008">
        <v>-3014</v>
      </c>
      <c r="BA116" s="903">
        <v>-346</v>
      </c>
      <c r="BB116" s="903">
        <v>-678</v>
      </c>
      <c r="BC116" s="903">
        <v>-178</v>
      </c>
      <c r="BD116" s="111">
        <f t="shared" si="359" ref="BD116:BD121">BE116-BA116-BB116-BC116</f>
        <v>93</v>
      </c>
      <c r="BE116" s="1008">
        <v>-1109</v>
      </c>
      <c r="BF116" s="903">
        <v>351</v>
      </c>
      <c r="BG116" s="903">
        <v>370</v>
      </c>
      <c r="BH116" s="904">
        <v>486</v>
      </c>
      <c r="BI116" s="111">
        <f t="shared" si="360" ref="BI116:BI120">BI58-BI107</f>
        <v>685.74568999999974</v>
      </c>
      <c r="BJ116" s="1006">
        <f t="shared" si="361" ref="BJ116:BJ121">SUM(BF116,BG116,BH116,BI116)</f>
        <v>1892.7456899999997</v>
      </c>
      <c r="BK116" s="111">
        <f t="shared" si="362" ref="BK116:BN120">BK58-BK107</f>
        <v>723.47388300000057</v>
      </c>
      <c r="BL116" s="111">
        <f t="shared" si="362"/>
        <v>-192.09524400000009</v>
      </c>
      <c r="BM116" s="111">
        <f t="shared" si="362"/>
        <v>218.14739100000043</v>
      </c>
      <c r="BN116" s="111">
        <f t="shared" si="362"/>
        <v>966.80483899999854</v>
      </c>
      <c r="BO116" s="1006">
        <f t="shared" si="363" ref="BO116:BO121">SUM(BK116,BL116,BM116,BN116)</f>
        <v>1716.3308689999994</v>
      </c>
      <c r="BP116" s="1006">
        <f t="shared" si="364" ref="BP116:BR120">BP58-BP107</f>
        <v>2502.7762139820043</v>
      </c>
      <c r="BQ116" s="1006">
        <f t="shared" si="364"/>
        <v>2577.8595004014642</v>
      </c>
      <c r="BR116" s="1006">
        <f t="shared" si="364"/>
        <v>2655.1952854135016</v>
      </c>
      <c r="BS116" s="304"/>
    </row>
    <row r="117" spans="1:71" s="565" customFormat="1" ht="15">
      <c r="A117" s="166" t="s">
        <v>777</v>
      </c>
      <c r="B117" s="563"/>
      <c r="C117" s="1008">
        <v>-125</v>
      </c>
      <c r="D117" s="1008">
        <v>-336</v>
      </c>
      <c r="E117" s="1008">
        <v>-1331</v>
      </c>
      <c r="F117" s="1008">
        <v>690</v>
      </c>
      <c r="G117" s="1008">
        <v>1422</v>
      </c>
      <c r="H117" s="903">
        <v>197</v>
      </c>
      <c r="I117" s="903">
        <v>-12</v>
      </c>
      <c r="J117" s="903">
        <v>287</v>
      </c>
      <c r="K117" s="111">
        <f t="shared" si="353"/>
        <v>625</v>
      </c>
      <c r="L117" s="1008">
        <v>1097</v>
      </c>
      <c r="M117" s="903">
        <v>366</v>
      </c>
      <c r="N117" s="903">
        <v>91</v>
      </c>
      <c r="O117" s="903">
        <v>465</v>
      </c>
      <c r="P117" s="111">
        <f t="shared" si="354"/>
        <v>509</v>
      </c>
      <c r="Q117" s="1008">
        <v>1431</v>
      </c>
      <c r="R117" s="903">
        <v>107</v>
      </c>
      <c r="S117" s="903">
        <v>26</v>
      </c>
      <c r="T117" s="903">
        <v>395</v>
      </c>
      <c r="U117" s="111">
        <f t="shared" si="355"/>
        <v>547</v>
      </c>
      <c r="V117" s="1008">
        <v>1075</v>
      </c>
      <c r="W117" s="903">
        <v>72</v>
      </c>
      <c r="X117" s="903">
        <v>24</v>
      </c>
      <c r="Y117" s="903">
        <v>335</v>
      </c>
      <c r="Z117" s="111">
        <f t="shared" si="356"/>
        <v>227</v>
      </c>
      <c r="AA117" s="1008">
        <v>658</v>
      </c>
      <c r="AB117" s="903">
        <v>341</v>
      </c>
      <c r="AC117" s="903">
        <v>15</v>
      </c>
      <c r="AD117" s="903">
        <v>208</v>
      </c>
      <c r="AE117" s="903">
        <v>-81</v>
      </c>
      <c r="AF117" s="1008">
        <v>483</v>
      </c>
      <c r="AG117" s="903">
        <v>142</v>
      </c>
      <c r="AH117" s="903">
        <v>-88</v>
      </c>
      <c r="AI117" s="903">
        <v>349</v>
      </c>
      <c r="AJ117" s="903">
        <v>511</v>
      </c>
      <c r="AK117" s="1008">
        <v>914</v>
      </c>
      <c r="AL117" s="903">
        <v>581</v>
      </c>
      <c r="AM117" s="903">
        <v>-139</v>
      </c>
      <c r="AN117" s="903">
        <v>-67</v>
      </c>
      <c r="AO117" s="903">
        <v>449</v>
      </c>
      <c r="AP117" s="1008">
        <v>824</v>
      </c>
      <c r="AQ117" s="903">
        <v>268</v>
      </c>
      <c r="AR117" s="903">
        <v>-7</v>
      </c>
      <c r="AS117" s="903">
        <v>-277</v>
      </c>
      <c r="AT117" s="111">
        <f t="shared" si="357"/>
        <v>335</v>
      </c>
      <c r="AU117" s="1008">
        <v>319</v>
      </c>
      <c r="AV117" s="903">
        <v>410</v>
      </c>
      <c r="AW117" s="903">
        <v>-186</v>
      </c>
      <c r="AX117" s="903">
        <v>245</v>
      </c>
      <c r="AY117" s="111">
        <f t="shared" si="358"/>
        <v>212</v>
      </c>
      <c r="AZ117" s="1008">
        <v>681</v>
      </c>
      <c r="BA117" s="903">
        <v>-534</v>
      </c>
      <c r="BB117" s="903">
        <v>-1307</v>
      </c>
      <c r="BC117" s="903">
        <v>-131</v>
      </c>
      <c r="BD117" s="111">
        <f t="shared" si="359"/>
        <v>1169</v>
      </c>
      <c r="BE117" s="1008">
        <v>-803</v>
      </c>
      <c r="BF117" s="903">
        <v>564</v>
      </c>
      <c r="BG117" s="903">
        <v>-375</v>
      </c>
      <c r="BH117" s="904">
        <v>60</v>
      </c>
      <c r="BI117" s="111">
        <f t="shared" si="360"/>
        <v>307.34172000000035</v>
      </c>
      <c r="BJ117" s="1006">
        <f t="shared" si="361"/>
        <v>556.34172000000035</v>
      </c>
      <c r="BK117" s="111">
        <f t="shared" si="362"/>
        <v>325.30805999999984</v>
      </c>
      <c r="BL117" s="111">
        <f t="shared" si="362"/>
        <v>435.21554999999989</v>
      </c>
      <c r="BM117" s="111">
        <f t="shared" si="362"/>
        <v>440.06728500000054</v>
      </c>
      <c r="BN117" s="111">
        <f t="shared" si="362"/>
        <v>322.7088060000001</v>
      </c>
      <c r="BO117" s="1006">
        <f t="shared" si="363"/>
        <v>1523.2997010000004</v>
      </c>
      <c r="BP117" s="1006">
        <f t="shared" si="364"/>
        <v>1549.0392201899995</v>
      </c>
      <c r="BQ117" s="1006">
        <f t="shared" si="364"/>
        <v>1579.3941301613995</v>
      </c>
      <c r="BR117" s="1006">
        <f t="shared" si="364"/>
        <v>1626.7759540662428</v>
      </c>
      <c r="BS117" s="304"/>
    </row>
    <row r="118" spans="1:71" s="565" customFormat="1" ht="15">
      <c r="A118" s="166" t="s">
        <v>778</v>
      </c>
      <c r="B118" s="563"/>
      <c r="C118" s="1008">
        <v>89</v>
      </c>
      <c r="D118" s="1008">
        <v>95</v>
      </c>
      <c r="E118" s="1008">
        <v>-188</v>
      </c>
      <c r="F118" s="1008">
        <v>-10</v>
      </c>
      <c r="G118" s="1008">
        <v>198</v>
      </c>
      <c r="H118" s="903">
        <v>-6</v>
      </c>
      <c r="I118" s="903">
        <v>54</v>
      </c>
      <c r="J118" s="903">
        <v>55</v>
      </c>
      <c r="K118" s="111">
        <f t="shared" si="353"/>
        <v>47</v>
      </c>
      <c r="L118" s="1008">
        <v>150</v>
      </c>
      <c r="M118" s="903">
        <v>37</v>
      </c>
      <c r="N118" s="903">
        <v>24</v>
      </c>
      <c r="O118" s="903">
        <v>43</v>
      </c>
      <c r="P118" s="111">
        <f t="shared" si="354"/>
        <v>71</v>
      </c>
      <c r="Q118" s="1008">
        <v>175</v>
      </c>
      <c r="R118" s="903">
        <v>17</v>
      </c>
      <c r="S118" s="903">
        <v>37</v>
      </c>
      <c r="T118" s="903">
        <v>50</v>
      </c>
      <c r="U118" s="111">
        <f t="shared" si="355"/>
        <v>56</v>
      </c>
      <c r="V118" s="1008">
        <v>160</v>
      </c>
      <c r="W118" s="903">
        <v>25</v>
      </c>
      <c r="X118" s="903">
        <v>44</v>
      </c>
      <c r="Y118" s="903">
        <v>-15</v>
      </c>
      <c r="Z118" s="111">
        <f t="shared" si="356"/>
        <v>70</v>
      </c>
      <c r="AA118" s="1008">
        <v>124</v>
      </c>
      <c r="AB118" s="903">
        <v>50</v>
      </c>
      <c r="AC118" s="903">
        <v>65</v>
      </c>
      <c r="AD118" s="903">
        <v>13</v>
      </c>
      <c r="AE118" s="903">
        <v>-18</v>
      </c>
      <c r="AF118" s="1008">
        <v>110</v>
      </c>
      <c r="AG118" s="903">
        <v>33</v>
      </c>
      <c r="AH118" s="903">
        <v>47</v>
      </c>
      <c r="AI118" s="903">
        <v>50</v>
      </c>
      <c r="AJ118" s="903">
        <v>94</v>
      </c>
      <c r="AK118" s="1008">
        <v>224</v>
      </c>
      <c r="AL118" s="903">
        <v>90</v>
      </c>
      <c r="AM118" s="903">
        <v>43</v>
      </c>
      <c r="AN118" s="903">
        <v>42</v>
      </c>
      <c r="AO118" s="903">
        <v>89</v>
      </c>
      <c r="AP118" s="1008">
        <v>264</v>
      </c>
      <c r="AQ118" s="903">
        <v>33</v>
      </c>
      <c r="AR118" s="903">
        <v>39</v>
      </c>
      <c r="AS118" s="903">
        <v>40</v>
      </c>
      <c r="AT118" s="111">
        <f t="shared" si="357"/>
        <v>121</v>
      </c>
      <c r="AU118" s="1008">
        <v>233</v>
      </c>
      <c r="AV118" s="903">
        <v>18</v>
      </c>
      <c r="AW118" s="903">
        <v>11</v>
      </c>
      <c r="AX118" s="903">
        <v>-10</v>
      </c>
      <c r="AY118" s="111">
        <f t="shared" si="358"/>
        <v>-107</v>
      </c>
      <c r="AZ118" s="1008">
        <v>-88</v>
      </c>
      <c r="BA118" s="903">
        <v>-89</v>
      </c>
      <c r="BB118" s="903">
        <v>-70</v>
      </c>
      <c r="BC118" s="903">
        <v>6</v>
      </c>
      <c r="BD118" s="111">
        <f t="shared" si="359"/>
        <v>114</v>
      </c>
      <c r="BE118" s="1008">
        <v>-39</v>
      </c>
      <c r="BF118" s="903">
        <v>7</v>
      </c>
      <c r="BG118" s="903">
        <v>-55</v>
      </c>
      <c r="BH118" s="904">
        <v>-18</v>
      </c>
      <c r="BI118" s="111">
        <f t="shared" si="360"/>
        <v>60.608100000000036</v>
      </c>
      <c r="BJ118" s="1006">
        <f t="shared" si="361"/>
        <v>-5.3918999999999642</v>
      </c>
      <c r="BK118" s="111">
        <f t="shared" si="362"/>
        <v>71.309700000000021</v>
      </c>
      <c r="BL118" s="111">
        <f t="shared" si="362"/>
        <v>91.298024999999939</v>
      </c>
      <c r="BM118" s="111">
        <f t="shared" si="362"/>
        <v>88.272764999999936</v>
      </c>
      <c r="BN118" s="111">
        <f t="shared" si="362"/>
        <v>63.638505000000009</v>
      </c>
      <c r="BO118" s="1006">
        <f t="shared" si="363"/>
        <v>314.5189949999999</v>
      </c>
      <c r="BP118" s="1006">
        <f t="shared" si="364"/>
        <v>327.26022367500036</v>
      </c>
      <c r="BQ118" s="1006">
        <f t="shared" si="364"/>
        <v>333.67320179550006</v>
      </c>
      <c r="BR118" s="1006">
        <f t="shared" si="364"/>
        <v>343.68339784936506</v>
      </c>
      <c r="BS118" s="304"/>
    </row>
    <row r="119" spans="1:71" s="565" customFormat="1" ht="15">
      <c r="A119" s="166" t="s">
        <v>779</v>
      </c>
      <c r="B119" s="563"/>
      <c r="C119" s="1008">
        <v>0</v>
      </c>
      <c r="D119" s="1008">
        <v>0</v>
      </c>
      <c r="E119" s="1008">
        <v>-14</v>
      </c>
      <c r="F119" s="1008">
        <v>51</v>
      </c>
      <c r="G119" s="1008">
        <v>41</v>
      </c>
      <c r="H119" s="903">
        <v>-5</v>
      </c>
      <c r="I119" s="903">
        <v>8</v>
      </c>
      <c r="J119" s="903">
        <v>10</v>
      </c>
      <c r="K119" s="111">
        <f t="shared" si="353"/>
        <v>-4</v>
      </c>
      <c r="L119" s="1008">
        <v>9</v>
      </c>
      <c r="M119" s="903">
        <v>-11</v>
      </c>
      <c r="N119" s="903">
        <v>-17</v>
      </c>
      <c r="O119" s="903">
        <v>-5</v>
      </c>
      <c r="P119" s="111">
        <f t="shared" si="354"/>
        <v>-7</v>
      </c>
      <c r="Q119" s="1008">
        <v>-40</v>
      </c>
      <c r="R119" s="903">
        <v>-28</v>
      </c>
      <c r="S119" s="903">
        <v>-43</v>
      </c>
      <c r="T119" s="903">
        <v>-19</v>
      </c>
      <c r="U119" s="111">
        <f t="shared" si="355"/>
        <v>-20</v>
      </c>
      <c r="V119" s="1008">
        <v>-110</v>
      </c>
      <c r="W119" s="903">
        <v>-4</v>
      </c>
      <c r="X119" s="903">
        <v>-2</v>
      </c>
      <c r="Y119" s="903">
        <v>-15</v>
      </c>
      <c r="Z119" s="111">
        <f t="shared" si="356"/>
        <v>2</v>
      </c>
      <c r="AA119" s="1008">
        <v>-19</v>
      </c>
      <c r="AB119" s="903">
        <v>-6</v>
      </c>
      <c r="AC119" s="903">
        <v>-36</v>
      </c>
      <c r="AD119" s="903">
        <v>-42</v>
      </c>
      <c r="AE119" s="903">
        <v>1</v>
      </c>
      <c r="AF119" s="1008">
        <v>-83</v>
      </c>
      <c r="AG119" s="903">
        <v>7</v>
      </c>
      <c r="AH119" s="903">
        <v>-7</v>
      </c>
      <c r="AI119" s="903">
        <v>1</v>
      </c>
      <c r="AJ119" s="903">
        <v>13</v>
      </c>
      <c r="AK119" s="1008">
        <v>14</v>
      </c>
      <c r="AL119" s="903">
        <v>5</v>
      </c>
      <c r="AM119" s="903">
        <v>-11</v>
      </c>
      <c r="AN119" s="903">
        <v>-14</v>
      </c>
      <c r="AO119" s="903">
        <v>-16</v>
      </c>
      <c r="AP119" s="1008">
        <v>-36</v>
      </c>
      <c r="AQ119" s="903">
        <v>-2</v>
      </c>
      <c r="AR119" s="903">
        <v>-25</v>
      </c>
      <c r="AS119" s="903">
        <v>-54</v>
      </c>
      <c r="AT119" s="111">
        <f t="shared" si="357"/>
        <v>-77</v>
      </c>
      <c r="AU119" s="1008">
        <v>-158</v>
      </c>
      <c r="AV119" s="903">
        <v>-22</v>
      </c>
      <c r="AW119" s="903">
        <v>-135</v>
      </c>
      <c r="AX119" s="903">
        <v>-117</v>
      </c>
      <c r="AY119" s="111">
        <f t="shared" si="358"/>
        <v>-190</v>
      </c>
      <c r="AZ119" s="1008">
        <v>-464</v>
      </c>
      <c r="BA119" s="903">
        <v>-60</v>
      </c>
      <c r="BB119" s="903">
        <v>-61</v>
      </c>
      <c r="BC119" s="903">
        <v>-60</v>
      </c>
      <c r="BD119" s="111">
        <f t="shared" si="359"/>
        <v>-84</v>
      </c>
      <c r="BE119" s="1008">
        <v>-265</v>
      </c>
      <c r="BF119" s="903">
        <v>-70</v>
      </c>
      <c r="BG119" s="903">
        <v>-138</v>
      </c>
      <c r="BH119" s="904">
        <v>-16</v>
      </c>
      <c r="BI119" s="111">
        <f t="shared" si="360"/>
        <v>-27.120015000000052</v>
      </c>
      <c r="BJ119" s="1006">
        <f t="shared" si="361"/>
        <v>-251.12001500000005</v>
      </c>
      <c r="BK119" s="111">
        <f t="shared" si="362"/>
        <v>-21.809655000000021</v>
      </c>
      <c r="BL119" s="111">
        <f t="shared" si="362"/>
        <v>-13.119749999999982</v>
      </c>
      <c r="BM119" s="111">
        <f t="shared" si="362"/>
        <v>-14.447160000000011</v>
      </c>
      <c r="BN119" s="111">
        <f t="shared" si="362"/>
        <v>-22.342720050000025</v>
      </c>
      <c r="BO119" s="1006">
        <f t="shared" si="363"/>
        <v>-71.719285050000039</v>
      </c>
      <c r="BP119" s="1006">
        <f t="shared" si="364"/>
        <v>-50.948003893500072</v>
      </c>
      <c r="BQ119" s="1006">
        <f t="shared" si="364"/>
        <v>-52.476444010304931</v>
      </c>
      <c r="BR119" s="1006">
        <f t="shared" si="364"/>
        <v>-54.050737330614083</v>
      </c>
      <c r="BS119" s="304"/>
    </row>
    <row r="120" spans="1:71" s="565" customFormat="1" ht="15">
      <c r="A120" s="166" t="s">
        <v>780</v>
      </c>
      <c r="B120" s="563"/>
      <c r="C120" s="1008">
        <v>0</v>
      </c>
      <c r="D120" s="1008">
        <v>0</v>
      </c>
      <c r="E120" s="1008">
        <v>20</v>
      </c>
      <c r="F120" s="1008">
        <v>77</v>
      </c>
      <c r="G120" s="1008">
        <v>51</v>
      </c>
      <c r="H120" s="903">
        <v>8</v>
      </c>
      <c r="I120" s="903">
        <v>15</v>
      </c>
      <c r="J120" s="903">
        <v>5</v>
      </c>
      <c r="K120" s="111">
        <f t="shared" si="353"/>
        <v>12</v>
      </c>
      <c r="L120" s="1008">
        <v>40</v>
      </c>
      <c r="M120" s="903">
        <v>3</v>
      </c>
      <c r="N120" s="903">
        <v>8</v>
      </c>
      <c r="O120" s="903">
        <v>16</v>
      </c>
      <c r="P120" s="111">
        <f t="shared" si="354"/>
        <v>6</v>
      </c>
      <c r="Q120" s="1008">
        <v>33</v>
      </c>
      <c r="R120" s="903">
        <v>14</v>
      </c>
      <c r="S120" s="903">
        <v>4</v>
      </c>
      <c r="T120" s="903">
        <v>7</v>
      </c>
      <c r="U120" s="111">
        <f t="shared" si="355"/>
        <v>28</v>
      </c>
      <c r="V120" s="1008">
        <v>53</v>
      </c>
      <c r="W120" s="903">
        <v>11</v>
      </c>
      <c r="X120" s="903">
        <v>11</v>
      </c>
      <c r="Y120" s="903">
        <v>15</v>
      </c>
      <c r="Z120" s="111">
        <f t="shared" si="356"/>
        <v>14</v>
      </c>
      <c r="AA120" s="1008">
        <v>51</v>
      </c>
      <c r="AB120" s="903">
        <v>8</v>
      </c>
      <c r="AC120" s="903">
        <v>16</v>
      </c>
      <c r="AD120" s="903">
        <v>15</v>
      </c>
      <c r="AE120" s="903">
        <v>10</v>
      </c>
      <c r="AF120" s="1008">
        <v>49</v>
      </c>
      <c r="AG120" s="903">
        <v>11</v>
      </c>
      <c r="AH120" s="903">
        <v>18</v>
      </c>
      <c r="AI120" s="903">
        <v>16</v>
      </c>
      <c r="AJ120" s="903">
        <v>30</v>
      </c>
      <c r="AK120" s="1008">
        <v>75</v>
      </c>
      <c r="AL120" s="903">
        <v>17</v>
      </c>
      <c r="AM120" s="903">
        <v>14</v>
      </c>
      <c r="AN120" s="903">
        <v>18</v>
      </c>
      <c r="AO120" s="903">
        <v>21</v>
      </c>
      <c r="AP120" s="1008">
        <v>70</v>
      </c>
      <c r="AQ120" s="903">
        <v>27</v>
      </c>
      <c r="AR120" s="903">
        <v>28</v>
      </c>
      <c r="AS120" s="903">
        <v>27</v>
      </c>
      <c r="AT120" s="111">
        <f t="shared" si="357"/>
        <v>33</v>
      </c>
      <c r="AU120" s="1008">
        <v>115</v>
      </c>
      <c r="AV120" s="903">
        <v>21</v>
      </c>
      <c r="AW120" s="903">
        <v>25</v>
      </c>
      <c r="AX120" s="903">
        <v>24</v>
      </c>
      <c r="AY120" s="111">
        <f t="shared" si="358"/>
        <v>25</v>
      </c>
      <c r="AZ120" s="1008">
        <v>95</v>
      </c>
      <c r="BA120" s="903">
        <v>29</v>
      </c>
      <c r="BB120" s="903">
        <v>21</v>
      </c>
      <c r="BC120" s="903">
        <v>28</v>
      </c>
      <c r="BD120" s="111">
        <f t="shared" si="359"/>
        <v>37</v>
      </c>
      <c r="BE120" s="1008">
        <v>115</v>
      </c>
      <c r="BF120" s="903">
        <v>48</v>
      </c>
      <c r="BG120" s="903">
        <v>52</v>
      </c>
      <c r="BH120" s="904">
        <v>40</v>
      </c>
      <c r="BI120" s="111">
        <f t="shared" si="360"/>
        <v>29.400000000000006</v>
      </c>
      <c r="BJ120" s="1006">
        <f t="shared" si="361"/>
        <v>169.40</v>
      </c>
      <c r="BK120" s="111">
        <f t="shared" si="362"/>
        <v>29.400000000000006</v>
      </c>
      <c r="BL120" s="111">
        <f t="shared" si="362"/>
        <v>29.400000000000006</v>
      </c>
      <c r="BM120" s="111">
        <f t="shared" si="362"/>
        <v>29.400000000000006</v>
      </c>
      <c r="BN120" s="111">
        <f t="shared" si="362"/>
        <v>29.400000000000006</v>
      </c>
      <c r="BO120" s="1006">
        <f t="shared" si="363"/>
        <v>117.60000000000002</v>
      </c>
      <c r="BP120" s="1006">
        <f t="shared" si="364"/>
        <v>117.60000000000002</v>
      </c>
      <c r="BQ120" s="1006">
        <f t="shared" si="364"/>
        <v>117.60000000000002</v>
      </c>
      <c r="BR120" s="1006">
        <f t="shared" si="364"/>
        <v>117.60000000000002</v>
      </c>
      <c r="BS120" s="304"/>
    </row>
    <row r="121" spans="1:71" s="300" customFormat="1" ht="15">
      <c r="A121" s="166" t="s">
        <v>781</v>
      </c>
      <c r="B121" s="233"/>
      <c r="C121" s="988">
        <v>0</v>
      </c>
      <c r="D121" s="988">
        <v>0</v>
      </c>
      <c r="E121" s="988">
        <v>-7</v>
      </c>
      <c r="F121" s="988">
        <v>-24</v>
      </c>
      <c r="G121" s="988">
        <v>-19</v>
      </c>
      <c r="H121" s="897">
        <v>-2</v>
      </c>
      <c r="I121" s="897">
        <v>-3</v>
      </c>
      <c r="J121" s="897">
        <v>-4</v>
      </c>
      <c r="K121" s="92">
        <f t="shared" si="353"/>
        <v>-4</v>
      </c>
      <c r="L121" s="988">
        <v>-13</v>
      </c>
      <c r="M121" s="897">
        <v>-2</v>
      </c>
      <c r="N121" s="897">
        <v>-3</v>
      </c>
      <c r="O121" s="897">
        <v>-1</v>
      </c>
      <c r="P121" s="92">
        <f t="shared" si="354"/>
        <v>-2</v>
      </c>
      <c r="Q121" s="988">
        <v>-8</v>
      </c>
      <c r="R121" s="897">
        <v>-1</v>
      </c>
      <c r="S121" s="897">
        <v>-2</v>
      </c>
      <c r="T121" s="897">
        <v>-2</v>
      </c>
      <c r="U121" s="92">
        <f t="shared" si="355"/>
        <v>-2</v>
      </c>
      <c r="V121" s="988">
        <v>-7</v>
      </c>
      <c r="W121" s="897">
        <v>-1</v>
      </c>
      <c r="X121" s="897">
        <v>0</v>
      </c>
      <c r="Y121" s="897">
        <v>0</v>
      </c>
      <c r="Z121" s="92">
        <f t="shared" si="356"/>
        <v>0</v>
      </c>
      <c r="AA121" s="988">
        <v>-1</v>
      </c>
      <c r="AB121" s="897">
        <v>-2</v>
      </c>
      <c r="AC121" s="897">
        <v>-1</v>
      </c>
      <c r="AD121" s="897">
        <v>-1</v>
      </c>
      <c r="AE121" s="897">
        <v>-3</v>
      </c>
      <c r="AF121" s="988">
        <v>-7</v>
      </c>
      <c r="AG121" s="897">
        <v>0</v>
      </c>
      <c r="AH121" s="897">
        <v>-1</v>
      </c>
      <c r="AI121" s="897">
        <v>-1</v>
      </c>
      <c r="AJ121" s="897">
        <v>-1</v>
      </c>
      <c r="AK121" s="988">
        <v>-3</v>
      </c>
      <c r="AL121" s="897">
        <v>1</v>
      </c>
      <c r="AM121" s="897">
        <v>0</v>
      </c>
      <c r="AN121" s="897">
        <v>2</v>
      </c>
      <c r="AO121" s="897">
        <v>0</v>
      </c>
      <c r="AP121" s="988">
        <v>3</v>
      </c>
      <c r="AQ121" s="897">
        <v>7</v>
      </c>
      <c r="AR121" s="897">
        <v>2</v>
      </c>
      <c r="AS121" s="897">
        <v>2</v>
      </c>
      <c r="AT121" s="92">
        <f t="shared" si="357"/>
        <v>3</v>
      </c>
      <c r="AU121" s="988">
        <v>14</v>
      </c>
      <c r="AV121" s="897">
        <v>2</v>
      </c>
      <c r="AW121" s="897">
        <v>2</v>
      </c>
      <c r="AX121" s="897">
        <v>3</v>
      </c>
      <c r="AY121" s="92">
        <f t="shared" si="358"/>
        <v>1</v>
      </c>
      <c r="AZ121" s="988">
        <v>8</v>
      </c>
      <c r="BA121" s="897">
        <v>2</v>
      </c>
      <c r="BB121" s="897">
        <v>3</v>
      </c>
      <c r="BC121" s="897">
        <v>4</v>
      </c>
      <c r="BD121" s="92">
        <f t="shared" si="359"/>
        <v>2</v>
      </c>
      <c r="BE121" s="990">
        <v>11</v>
      </c>
      <c r="BF121" s="897">
        <v>3</v>
      </c>
      <c r="BG121" s="897">
        <v>4</v>
      </c>
      <c r="BH121" s="898">
        <v>3</v>
      </c>
      <c r="BI121" s="897">
        <v>2</v>
      </c>
      <c r="BJ121" s="989">
        <f t="shared" si="361"/>
        <v>12</v>
      </c>
      <c r="BK121" s="897">
        <v>2</v>
      </c>
      <c r="BL121" s="897">
        <v>2</v>
      </c>
      <c r="BM121" s="897">
        <v>2</v>
      </c>
      <c r="BN121" s="897">
        <v>2</v>
      </c>
      <c r="BO121" s="989">
        <f t="shared" si="363"/>
        <v>8</v>
      </c>
      <c r="BP121" s="988">
        <v>8</v>
      </c>
      <c r="BQ121" s="988">
        <v>8</v>
      </c>
      <c r="BR121" s="988">
        <v>8</v>
      </c>
      <c r="BS121" s="305"/>
    </row>
    <row r="122" spans="1:71" s="300" customFormat="1" ht="15">
      <c r="A122" s="575" t="s">
        <v>330</v>
      </c>
      <c r="B122" s="481"/>
      <c r="C122" s="992">
        <f t="shared" si="365" ref="C122:AP122">SUM(C116:C121)</f>
        <v>1027</v>
      </c>
      <c r="D122" s="992">
        <f t="shared" si="365"/>
        <v>525</v>
      </c>
      <c r="E122" s="992">
        <f t="shared" si="365"/>
        <v>-857</v>
      </c>
      <c r="F122" s="992">
        <f t="shared" si="365"/>
        <v>1253</v>
      </c>
      <c r="G122" s="992">
        <f t="shared" si="365"/>
        <v>2361</v>
      </c>
      <c r="H122" s="116">
        <f t="shared" si="365"/>
        <v>375</v>
      </c>
      <c r="I122" s="116">
        <f t="shared" si="365"/>
        <v>192</v>
      </c>
      <c r="J122" s="116">
        <f t="shared" si="365"/>
        <v>579</v>
      </c>
      <c r="K122" s="116">
        <f t="shared" si="365"/>
        <v>741</v>
      </c>
      <c r="L122" s="992">
        <f t="shared" si="365"/>
        <v>1887</v>
      </c>
      <c r="M122" s="116">
        <f t="shared" si="365"/>
        <v>469</v>
      </c>
      <c r="N122" s="116">
        <f t="shared" si="365"/>
        <v>-8</v>
      </c>
      <c r="O122" s="116">
        <f t="shared" si="365"/>
        <v>540</v>
      </c>
      <c r="P122" s="116">
        <f t="shared" si="365"/>
        <v>613</v>
      </c>
      <c r="Q122" s="992">
        <f t="shared" si="365"/>
        <v>1614</v>
      </c>
      <c r="R122" s="116">
        <f t="shared" si="365"/>
        <v>127</v>
      </c>
      <c r="S122" s="116">
        <f t="shared" si="365"/>
        <v>-64</v>
      </c>
      <c r="T122" s="116">
        <f t="shared" si="365"/>
        <v>455</v>
      </c>
      <c r="U122" s="116">
        <f t="shared" si="365"/>
        <v>809</v>
      </c>
      <c r="V122" s="992">
        <f t="shared" si="365"/>
        <v>1327</v>
      </c>
      <c r="W122" s="116">
        <f t="shared" si="365"/>
        <v>550</v>
      </c>
      <c r="X122" s="116">
        <f t="shared" si="365"/>
        <v>270</v>
      </c>
      <c r="Y122" s="116">
        <f t="shared" si="365"/>
        <v>572</v>
      </c>
      <c r="Z122" s="116">
        <f t="shared" si="365"/>
        <v>719</v>
      </c>
      <c r="AA122" s="992">
        <f t="shared" si="365"/>
        <v>2111</v>
      </c>
      <c r="AB122" s="116">
        <f t="shared" si="365"/>
        <v>1008</v>
      </c>
      <c r="AC122" s="116">
        <f t="shared" si="365"/>
        <v>458</v>
      </c>
      <c r="AD122" s="116">
        <f t="shared" si="365"/>
        <v>587</v>
      </c>
      <c r="AE122" s="116">
        <f t="shared" si="365"/>
        <v>290</v>
      </c>
      <c r="AF122" s="992">
        <f t="shared" si="365"/>
        <v>2343</v>
      </c>
      <c r="AG122" s="116">
        <f t="shared" si="365"/>
        <v>703</v>
      </c>
      <c r="AH122" s="116">
        <f t="shared" si="365"/>
        <v>370</v>
      </c>
      <c r="AI122" s="116">
        <f t="shared" si="365"/>
        <v>836</v>
      </c>
      <c r="AJ122" s="116">
        <f t="shared" si="365"/>
        <v>1003</v>
      </c>
      <c r="AK122" s="992">
        <f t="shared" si="365"/>
        <v>2912</v>
      </c>
      <c r="AL122" s="116">
        <f t="shared" si="365"/>
        <v>1351</v>
      </c>
      <c r="AM122" s="116">
        <f t="shared" si="365"/>
        <v>905</v>
      </c>
      <c r="AN122" s="116">
        <f t="shared" si="365"/>
        <v>887</v>
      </c>
      <c r="AO122" s="116">
        <f t="shared" si="365"/>
        <v>1426</v>
      </c>
      <c r="AP122" s="992">
        <f t="shared" si="365"/>
        <v>4569</v>
      </c>
      <c r="AQ122" s="116">
        <f t="shared" si="366" ref="AQ122:AV122">SUM(AQ116:AQ121)</f>
        <v>1660</v>
      </c>
      <c r="AR122" s="116">
        <f t="shared" si="366"/>
        <v>431</v>
      </c>
      <c r="AS122" s="116">
        <f t="shared" si="366"/>
        <v>-421</v>
      </c>
      <c r="AT122" s="116">
        <f t="shared" si="366"/>
        <v>115</v>
      </c>
      <c r="AU122" s="992">
        <f t="shared" si="366"/>
        <v>1785</v>
      </c>
      <c r="AV122" s="116">
        <f t="shared" si="366"/>
        <v>282</v>
      </c>
      <c r="AW122" s="116">
        <f t="shared" si="367" ref="AW122:BJ122">SUM(AW116:AW121)</f>
        <v>-861</v>
      </c>
      <c r="AX122" s="116">
        <f t="shared" si="367"/>
        <v>-1170</v>
      </c>
      <c r="AY122" s="116">
        <f t="shared" si="367"/>
        <v>-1033</v>
      </c>
      <c r="AZ122" s="992">
        <f t="shared" si="367"/>
        <v>-2782</v>
      </c>
      <c r="BA122" s="116">
        <f t="shared" si="368" ref="BA122:BI122">SUM(BA116:BA121)</f>
        <v>-998</v>
      </c>
      <c r="BB122" s="116">
        <f t="shared" si="368"/>
        <v>-2092</v>
      </c>
      <c r="BC122" s="116">
        <f t="shared" si="368"/>
        <v>-331</v>
      </c>
      <c r="BD122" s="116">
        <f t="shared" si="368"/>
        <v>1331</v>
      </c>
      <c r="BE122" s="993">
        <f t="shared" si="368"/>
        <v>-2090</v>
      </c>
      <c r="BF122" s="116">
        <f>SUM(BF116:BF121)</f>
        <v>903</v>
      </c>
      <c r="BG122" s="116">
        <f>SUM(BG116:BG121)</f>
        <v>-142</v>
      </c>
      <c r="BH122" s="741">
        <f>SUM(BH116:BH121)</f>
        <v>555</v>
      </c>
      <c r="BI122" s="239">
        <f t="shared" si="368"/>
        <v>1057.9754950000001</v>
      </c>
      <c r="BJ122" s="994">
        <f t="shared" si="367"/>
        <v>2373.9754950000001</v>
      </c>
      <c r="BK122" s="239">
        <f t="shared" si="369" ref="BK122:BR122">SUM(BK116:BK121)</f>
        <v>1129.6819880000005</v>
      </c>
      <c r="BL122" s="239">
        <f t="shared" si="369"/>
        <v>352.69858099999976</v>
      </c>
      <c r="BM122" s="239">
        <f t="shared" si="369"/>
        <v>763.44028100000082</v>
      </c>
      <c r="BN122" s="239">
        <f t="shared" si="369"/>
        <v>1362.2094299499986</v>
      </c>
      <c r="BO122" s="994">
        <f t="shared" si="369"/>
        <v>3608.0302799499996</v>
      </c>
      <c r="BP122" s="994">
        <f t="shared" si="369"/>
        <v>4453.7276539535051</v>
      </c>
      <c r="BQ122" s="994">
        <f t="shared" si="369"/>
        <v>4564.0503883480596</v>
      </c>
      <c r="BR122" s="994">
        <f t="shared" si="369"/>
        <v>4697.2038999984961</v>
      </c>
      <c r="BS122" s="305"/>
    </row>
    <row r="123" spans="1:71" s="300" customFormat="1" ht="15">
      <c r="A123" s="105" t="s">
        <v>755</v>
      </c>
      <c r="B123" s="113"/>
      <c r="C123" s="998">
        <f t="shared" si="370" ref="C123:AP123">C64-C113</f>
        <v>-32</v>
      </c>
      <c r="D123" s="998">
        <f t="shared" si="370"/>
        <v>-31</v>
      </c>
      <c r="E123" s="998">
        <f t="shared" si="370"/>
        <v>-25</v>
      </c>
      <c r="F123" s="998">
        <f t="shared" si="370"/>
        <v>-53</v>
      </c>
      <c r="G123" s="998">
        <f t="shared" si="370"/>
        <v>-143</v>
      </c>
      <c r="H123" s="58">
        <f t="shared" si="370"/>
        <v>-3</v>
      </c>
      <c r="I123" s="58">
        <f t="shared" si="370"/>
        <v>-3</v>
      </c>
      <c r="J123" s="58">
        <f t="shared" si="370"/>
        <v>-105</v>
      </c>
      <c r="K123" s="58">
        <f t="shared" si="370"/>
        <v>-4</v>
      </c>
      <c r="L123" s="998">
        <f t="shared" si="370"/>
        <v>-115</v>
      </c>
      <c r="M123" s="58">
        <f t="shared" si="370"/>
        <v>-2</v>
      </c>
      <c r="N123" s="58">
        <f t="shared" si="370"/>
        <v>-2</v>
      </c>
      <c r="O123" s="58">
        <f t="shared" si="370"/>
        <v>-49</v>
      </c>
      <c r="P123" s="58">
        <f t="shared" si="370"/>
        <v>-2</v>
      </c>
      <c r="Q123" s="998">
        <f t="shared" si="370"/>
        <v>-55</v>
      </c>
      <c r="R123" s="58">
        <f t="shared" si="370"/>
        <v>-2</v>
      </c>
      <c r="S123" s="58">
        <f t="shared" si="370"/>
        <v>-2</v>
      </c>
      <c r="T123" s="58">
        <f t="shared" si="370"/>
        <v>-100</v>
      </c>
      <c r="U123" s="58">
        <f t="shared" si="370"/>
        <v>-3</v>
      </c>
      <c r="V123" s="998">
        <f t="shared" si="370"/>
        <v>-107</v>
      </c>
      <c r="W123" s="58">
        <f t="shared" si="370"/>
        <v>-2</v>
      </c>
      <c r="X123" s="58">
        <f t="shared" si="370"/>
        <v>-5</v>
      </c>
      <c r="Y123" s="58">
        <f t="shared" si="370"/>
        <v>-88</v>
      </c>
      <c r="Z123" s="58">
        <f t="shared" si="370"/>
        <v>-4</v>
      </c>
      <c r="AA123" s="998">
        <f t="shared" si="370"/>
        <v>-99</v>
      </c>
      <c r="AB123" s="58">
        <f t="shared" si="370"/>
        <v>-3</v>
      </c>
      <c r="AC123" s="58">
        <f t="shared" si="370"/>
        <v>-3</v>
      </c>
      <c r="AD123" s="58">
        <f t="shared" si="370"/>
        <v>-80</v>
      </c>
      <c r="AE123" s="58">
        <f t="shared" si="370"/>
        <v>-4</v>
      </c>
      <c r="AF123" s="998">
        <f t="shared" si="370"/>
        <v>-90</v>
      </c>
      <c r="AG123" s="58">
        <f t="shared" si="370"/>
        <v>-3</v>
      </c>
      <c r="AH123" s="58">
        <f t="shared" si="370"/>
        <v>-3</v>
      </c>
      <c r="AI123" s="58">
        <f t="shared" si="370"/>
        <v>-99</v>
      </c>
      <c r="AJ123" s="58">
        <f t="shared" si="370"/>
        <v>-3</v>
      </c>
      <c r="AK123" s="998">
        <f t="shared" si="370"/>
        <v>-108</v>
      </c>
      <c r="AL123" s="58">
        <f t="shared" si="370"/>
        <v>-3</v>
      </c>
      <c r="AM123" s="58">
        <f t="shared" si="370"/>
        <v>-3</v>
      </c>
      <c r="AN123" s="58">
        <f t="shared" si="370"/>
        <v>-135</v>
      </c>
      <c r="AO123" s="58">
        <f t="shared" si="370"/>
        <v>-3</v>
      </c>
      <c r="AP123" s="998">
        <f t="shared" si="370"/>
        <v>-144</v>
      </c>
      <c r="AQ123" s="58">
        <f t="shared" si="371" ref="AQ123:AV123">AQ64-AQ113</f>
        <v>-3</v>
      </c>
      <c r="AR123" s="58">
        <f t="shared" si="371"/>
        <v>-2</v>
      </c>
      <c r="AS123" s="58">
        <f t="shared" si="371"/>
        <v>-113</v>
      </c>
      <c r="AT123" s="58">
        <f t="shared" si="371"/>
        <v>-2</v>
      </c>
      <c r="AU123" s="998">
        <f t="shared" si="371"/>
        <v>-120</v>
      </c>
      <c r="AV123" s="58">
        <f t="shared" si="371"/>
        <v>-2</v>
      </c>
      <c r="AW123" s="58">
        <f t="shared" si="372" ref="AW123:BJ123">AW64-AW113</f>
        <v>-3</v>
      </c>
      <c r="AX123" s="58">
        <f t="shared" si="372"/>
        <v>-122</v>
      </c>
      <c r="AY123" s="58">
        <f t="shared" si="372"/>
        <v>-2</v>
      </c>
      <c r="AZ123" s="998">
        <f t="shared" si="372"/>
        <v>-129</v>
      </c>
      <c r="BA123" s="58">
        <f t="shared" si="373" ref="BA123:BI123">BA64-BA113</f>
        <v>-3</v>
      </c>
      <c r="BB123" s="58">
        <f t="shared" si="373"/>
        <v>-2</v>
      </c>
      <c r="BC123" s="58">
        <f t="shared" si="373"/>
        <v>-83</v>
      </c>
      <c r="BD123" s="58">
        <f t="shared" si="373"/>
        <v>-6</v>
      </c>
      <c r="BE123" s="998">
        <f t="shared" si="373"/>
        <v>-94</v>
      </c>
      <c r="BF123" s="58">
        <f>BF64-BF113</f>
        <v>-5</v>
      </c>
      <c r="BG123" s="58">
        <f>BG64-BG113</f>
        <v>-3</v>
      </c>
      <c r="BH123" s="744">
        <f>BH64-BH113</f>
        <v>-60</v>
      </c>
      <c r="BI123" s="115">
        <f t="shared" si="373"/>
        <v>0</v>
      </c>
      <c r="BJ123" s="995">
        <f t="shared" si="372"/>
        <v>-68</v>
      </c>
      <c r="BK123" s="115">
        <f t="shared" si="374" ref="BK123:BR123">BK64-BK113</f>
        <v>0</v>
      </c>
      <c r="BL123" s="115">
        <f t="shared" si="374"/>
        <v>0</v>
      </c>
      <c r="BM123" s="115">
        <f t="shared" si="374"/>
        <v>0</v>
      </c>
      <c r="BN123" s="115">
        <f t="shared" si="374"/>
        <v>0</v>
      </c>
      <c r="BO123" s="995">
        <f t="shared" si="374"/>
        <v>0</v>
      </c>
      <c r="BP123" s="995">
        <f t="shared" si="374"/>
        <v>0</v>
      </c>
      <c r="BQ123" s="995">
        <f t="shared" si="374"/>
        <v>0</v>
      </c>
      <c r="BR123" s="995">
        <f t="shared" si="374"/>
        <v>0</v>
      </c>
      <c r="BS123" s="305"/>
    </row>
    <row r="124" spans="1:71" s="51" customFormat="1" ht="15">
      <c r="A124" s="87" t="s">
        <v>552</v>
      </c>
      <c r="B124" s="164"/>
      <c r="C124" s="1009">
        <f>SUM(C122:C123)</f>
        <v>995</v>
      </c>
      <c r="D124" s="996">
        <f t="shared" si="375" ref="D124:AL124">SUM(D122:D123)</f>
        <v>494</v>
      </c>
      <c r="E124" s="996">
        <f t="shared" si="375"/>
        <v>-882</v>
      </c>
      <c r="F124" s="996">
        <f t="shared" si="375"/>
        <v>1200</v>
      </c>
      <c r="G124" s="996">
        <f t="shared" si="375"/>
        <v>2218</v>
      </c>
      <c r="H124" s="89">
        <f t="shared" si="375"/>
        <v>372</v>
      </c>
      <c r="I124" s="89">
        <f t="shared" si="375"/>
        <v>189</v>
      </c>
      <c r="J124" s="89">
        <f t="shared" si="375"/>
        <v>474</v>
      </c>
      <c r="K124" s="89">
        <f t="shared" si="375"/>
        <v>737</v>
      </c>
      <c r="L124" s="996">
        <f t="shared" si="375"/>
        <v>1772</v>
      </c>
      <c r="M124" s="89">
        <f t="shared" si="375"/>
        <v>467</v>
      </c>
      <c r="N124" s="89">
        <f t="shared" si="375"/>
        <v>-10</v>
      </c>
      <c r="O124" s="89">
        <f t="shared" si="375"/>
        <v>491</v>
      </c>
      <c r="P124" s="89">
        <f t="shared" si="375"/>
        <v>611</v>
      </c>
      <c r="Q124" s="996">
        <f t="shared" si="375"/>
        <v>1559</v>
      </c>
      <c r="R124" s="89">
        <f t="shared" si="375"/>
        <v>125</v>
      </c>
      <c r="S124" s="89">
        <f t="shared" si="375"/>
        <v>-66</v>
      </c>
      <c r="T124" s="89">
        <f t="shared" si="375"/>
        <v>355</v>
      </c>
      <c r="U124" s="89">
        <f t="shared" si="375"/>
        <v>806</v>
      </c>
      <c r="V124" s="996">
        <f t="shared" si="375"/>
        <v>1220</v>
      </c>
      <c r="W124" s="89">
        <f t="shared" si="375"/>
        <v>548</v>
      </c>
      <c r="X124" s="89">
        <f t="shared" si="375"/>
        <v>265</v>
      </c>
      <c r="Y124" s="89">
        <f t="shared" si="375"/>
        <v>484</v>
      </c>
      <c r="Z124" s="89">
        <f t="shared" si="375"/>
        <v>715</v>
      </c>
      <c r="AA124" s="996">
        <f t="shared" si="375"/>
        <v>2012</v>
      </c>
      <c r="AB124" s="89">
        <f t="shared" si="375"/>
        <v>1005</v>
      </c>
      <c r="AC124" s="89">
        <f t="shared" si="375"/>
        <v>455</v>
      </c>
      <c r="AD124" s="89">
        <f t="shared" si="375"/>
        <v>507</v>
      </c>
      <c r="AE124" s="89">
        <f t="shared" si="375"/>
        <v>286</v>
      </c>
      <c r="AF124" s="996">
        <f t="shared" si="375"/>
        <v>2253</v>
      </c>
      <c r="AG124" s="89">
        <f t="shared" si="375"/>
        <v>700</v>
      </c>
      <c r="AH124" s="89">
        <f t="shared" si="375"/>
        <v>367</v>
      </c>
      <c r="AI124" s="89">
        <f t="shared" si="375"/>
        <v>737</v>
      </c>
      <c r="AJ124" s="89">
        <f t="shared" si="375"/>
        <v>1000</v>
      </c>
      <c r="AK124" s="996">
        <f t="shared" si="375"/>
        <v>2804</v>
      </c>
      <c r="AL124" s="89">
        <f t="shared" si="375"/>
        <v>1348</v>
      </c>
      <c r="AM124" s="89">
        <f>SUM(AM122:AM123)</f>
        <v>902</v>
      </c>
      <c r="AN124" s="89">
        <f>SUM(AN122:AN123)</f>
        <v>752</v>
      </c>
      <c r="AO124" s="89">
        <f t="shared" si="376" ref="AO124:AP124">SUM(AO122:AO123)</f>
        <v>1423</v>
      </c>
      <c r="AP124" s="996">
        <f t="shared" si="376"/>
        <v>4425</v>
      </c>
      <c r="AQ124" s="89">
        <f t="shared" si="377" ref="AQ124:AV124">SUM(AQ122:AQ123)</f>
        <v>1657</v>
      </c>
      <c r="AR124" s="89">
        <f t="shared" si="377"/>
        <v>429</v>
      </c>
      <c r="AS124" s="89">
        <f t="shared" si="377"/>
        <v>-534</v>
      </c>
      <c r="AT124" s="89">
        <f t="shared" si="377"/>
        <v>113</v>
      </c>
      <c r="AU124" s="996">
        <f t="shared" si="377"/>
        <v>1665</v>
      </c>
      <c r="AV124" s="89">
        <f t="shared" si="377"/>
        <v>280</v>
      </c>
      <c r="AW124" s="89">
        <f t="shared" si="378" ref="AW124:BJ124">SUM(AW122:AW123)</f>
        <v>-864</v>
      </c>
      <c r="AX124" s="89">
        <f t="shared" si="378"/>
        <v>-1292</v>
      </c>
      <c r="AY124" s="89">
        <f t="shared" si="378"/>
        <v>-1035</v>
      </c>
      <c r="AZ124" s="996">
        <f t="shared" si="378"/>
        <v>-2911</v>
      </c>
      <c r="BA124" s="89">
        <f t="shared" si="379" ref="BA124:BI124">SUM(BA122:BA123)</f>
        <v>-1001</v>
      </c>
      <c r="BB124" s="89">
        <f t="shared" si="379"/>
        <v>-2094</v>
      </c>
      <c r="BC124" s="89">
        <f t="shared" si="379"/>
        <v>-414</v>
      </c>
      <c r="BD124" s="89">
        <f t="shared" si="378"/>
        <v>1325</v>
      </c>
      <c r="BE124" s="996">
        <f t="shared" si="378"/>
        <v>-2184</v>
      </c>
      <c r="BF124" s="89">
        <f>SUM(BF122:BF123)</f>
        <v>898</v>
      </c>
      <c r="BG124" s="89">
        <f>SUM(BG122:BG123)</f>
        <v>-145</v>
      </c>
      <c r="BH124" s="742">
        <f>SUM(BH122:BH123)</f>
        <v>495</v>
      </c>
      <c r="BI124" s="90">
        <f t="shared" si="379"/>
        <v>1057.9754950000001</v>
      </c>
      <c r="BJ124" s="997">
        <f t="shared" si="378"/>
        <v>2305.9754950000001</v>
      </c>
      <c r="BK124" s="90">
        <f t="shared" si="380" ref="BK124:BR124">SUM(BK122:BK123)</f>
        <v>1129.6819880000005</v>
      </c>
      <c r="BL124" s="90">
        <f t="shared" si="380"/>
        <v>352.69858099999976</v>
      </c>
      <c r="BM124" s="90">
        <f t="shared" si="380"/>
        <v>763.44028100000082</v>
      </c>
      <c r="BN124" s="90">
        <f t="shared" si="380"/>
        <v>1362.2094299499986</v>
      </c>
      <c r="BO124" s="997">
        <f t="shared" si="380"/>
        <v>3608.0302799499996</v>
      </c>
      <c r="BP124" s="997">
        <f t="shared" si="380"/>
        <v>4453.7276539535051</v>
      </c>
      <c r="BQ124" s="997">
        <f t="shared" si="380"/>
        <v>4564.0503883480596</v>
      </c>
      <c r="BR124" s="997">
        <f t="shared" si="380"/>
        <v>4697.2038999984961</v>
      </c>
      <c r="BS124" s="57"/>
    </row>
    <row r="125" spans="1:71" s="205" customFormat="1" ht="15">
      <c r="A125" s="201" t="str">
        <f>CONCATENATE("Consensus Estimates - ",IFERROR(LEFT(A124,FIND("(",A124)-1),A124))</f>
        <v>Consensus Estimates - Total Property &amp; Liability Underwriting Income, mm</v>
      </c>
      <c r="B125" s="230"/>
      <c r="C125" s="1001"/>
      <c r="D125" s="1001"/>
      <c r="E125" s="1001"/>
      <c r="F125" s="1001"/>
      <c r="G125" s="1001"/>
      <c r="H125" s="203"/>
      <c r="I125" s="203"/>
      <c r="J125" s="203"/>
      <c r="K125" s="203"/>
      <c r="L125" s="1001"/>
      <c r="M125" s="203"/>
      <c r="N125" s="203"/>
      <c r="O125" s="203"/>
      <c r="P125" s="203"/>
      <c r="Q125" s="1001"/>
      <c r="R125" s="203"/>
      <c r="S125" s="203"/>
      <c r="T125" s="203"/>
      <c r="U125" s="203"/>
      <c r="V125" s="1001"/>
      <c r="W125" s="203"/>
      <c r="X125" s="203"/>
      <c r="Y125" s="203"/>
      <c r="Z125" s="203"/>
      <c r="AA125" s="1001"/>
      <c r="AB125" s="203"/>
      <c r="AC125" s="203"/>
      <c r="AD125" s="203"/>
      <c r="AE125" s="203"/>
      <c r="AF125" s="1001"/>
      <c r="AG125" s="203"/>
      <c r="AH125" s="203"/>
      <c r="AI125" s="203"/>
      <c r="AJ125" s="203"/>
      <c r="AK125" s="1001"/>
      <c r="AL125" s="203"/>
      <c r="AM125" s="203"/>
      <c r="AN125" s="203"/>
      <c r="AO125" s="203"/>
      <c r="AP125" s="1001"/>
      <c r="AQ125" s="203"/>
      <c r="AR125" s="203"/>
      <c r="AS125" s="203"/>
      <c r="AT125" s="203"/>
      <c r="AU125" s="1001"/>
      <c r="AV125" s="203"/>
      <c r="AW125" s="203"/>
      <c r="AX125" s="203"/>
      <c r="AY125" s="203"/>
      <c r="AZ125" s="1001"/>
      <c r="BA125" s="203"/>
      <c r="BB125" s="203"/>
      <c r="BC125" s="203"/>
      <c r="BD125" s="203"/>
      <c r="BE125" s="1001"/>
      <c r="BF125" s="203"/>
      <c r="BG125" s="203"/>
      <c r="BH125" s="746"/>
      <c r="BI125" s="249" t="str">
        <f ca="1" t="shared" si="381" ref="BI125:BO125">IFERROR(VLOOKUP($A125,tb_ConsensusEstimate,MATCH(BI$5,OFFSET(tb_ConsensusEstimate,0,0,1,COLUMNS(tb_ConsensusEstimate)),0),FALSE),"-")</f>
        <v>N/A</v>
      </c>
      <c r="BJ125" s="1002" t="str">
        <f t="shared" ca="1" si="381"/>
        <v>N/A</v>
      </c>
      <c r="BK125" s="249" t="str">
        <f t="shared" ca="1" si="381"/>
        <v>N/A</v>
      </c>
      <c r="BL125" s="249" t="str">
        <f t="shared" ca="1" si="381"/>
        <v>N/A</v>
      </c>
      <c r="BM125" s="249" t="str">
        <f t="shared" ca="1" si="381"/>
        <v>N/A</v>
      </c>
      <c r="BN125" s="249" t="str">
        <f t="shared" ca="1" si="381"/>
        <v>N/A</v>
      </c>
      <c r="BO125" s="1002" t="str">
        <f t="shared" ca="1" si="381"/>
        <v>N/A</v>
      </c>
      <c r="BP125" s="1002" t="str">
        <f ca="1">IFERROR(VLOOKUP($A125,tb_ConsensusEstimate,MATCH(BP5,OFFSET(tb_ConsensusEstimate,0,0,1,COLUMNS(tb_ConsensusEstimate)),0),FALSE),"-")</f>
        <v>N/A</v>
      </c>
      <c r="BQ125" s="1002" t="str">
        <f ca="1">IFERROR(VLOOKUP($A125,tb_ConsensusEstimate,MATCH(BQ5,OFFSET(tb_ConsensusEstimate,0,0,1,COLUMNS(tb_ConsensusEstimate)),0),FALSE),"-")</f>
        <v>N/A</v>
      </c>
      <c r="BR125" s="1002" t="str">
        <f ca="1">IFERROR(VLOOKUP($A125,tb_ConsensusEstimate,MATCH(BR5,OFFSET(tb_ConsensusEstimate,0,0,1,COLUMNS(tb_ConsensusEstimate)),0),FALSE),"-")</f>
        <v>N/A</v>
      </c>
      <c r="BS125" s="203"/>
    </row>
    <row r="126" spans="1:71" s="22" customFormat="1" ht="15">
      <c r="A126" s="484"/>
      <c r="B126" s="485"/>
      <c r="C126" s="1010"/>
      <c r="D126" s="1010"/>
      <c r="E126" s="1010"/>
      <c r="F126" s="1010"/>
      <c r="G126" s="1010"/>
      <c r="H126" s="840"/>
      <c r="I126" s="840"/>
      <c r="J126" s="840"/>
      <c r="K126" s="840"/>
      <c r="L126" s="1010"/>
      <c r="M126" s="840"/>
      <c r="N126" s="840"/>
      <c r="O126" s="840"/>
      <c r="P126" s="840"/>
      <c r="Q126" s="1010"/>
      <c r="R126" s="840"/>
      <c r="S126" s="840"/>
      <c r="T126" s="840"/>
      <c r="U126" s="840"/>
      <c r="V126" s="1010"/>
      <c r="W126" s="840"/>
      <c r="X126" s="840"/>
      <c r="Y126" s="840"/>
      <c r="Z126" s="840"/>
      <c r="AA126" s="1010"/>
      <c r="AB126" s="840"/>
      <c r="AC126" s="840"/>
      <c r="AD126" s="840"/>
      <c r="AE126" s="840"/>
      <c r="AF126" s="1010"/>
      <c r="AG126" s="840"/>
      <c r="AH126" s="840"/>
      <c r="AI126" s="840"/>
      <c r="AJ126" s="840"/>
      <c r="AK126" s="1010"/>
      <c r="AL126" s="840"/>
      <c r="AM126" s="840"/>
      <c r="AN126" s="840"/>
      <c r="AO126" s="840"/>
      <c r="AP126" s="1010"/>
      <c r="AQ126" s="840"/>
      <c r="AR126" s="840"/>
      <c r="AS126" s="840"/>
      <c r="AT126" s="840"/>
      <c r="AU126" s="1010"/>
      <c r="AV126" s="840"/>
      <c r="AW126" s="840"/>
      <c r="AX126" s="840"/>
      <c r="AY126" s="840"/>
      <c r="AZ126" s="1010"/>
      <c r="BA126" s="840"/>
      <c r="BB126" s="840"/>
      <c r="BC126" s="840"/>
      <c r="BD126" s="840"/>
      <c r="BE126" s="1010"/>
      <c r="BF126" s="840"/>
      <c r="BG126" s="840"/>
      <c r="BH126" s="841"/>
      <c r="BI126" s="840"/>
      <c r="BJ126" s="1010"/>
      <c r="BK126" s="840"/>
      <c r="BL126" s="840"/>
      <c r="BM126" s="840"/>
      <c r="BN126" s="840"/>
      <c r="BO126" s="1010"/>
      <c r="BP126" s="1010"/>
      <c r="BQ126" s="1010"/>
      <c r="BR126" s="1010"/>
      <c r="BS126" s="822"/>
    </row>
    <row r="127" spans="1:71" s="17" customFormat="1" ht="15">
      <c r="A127" s="818" t="s">
        <v>812</v>
      </c>
      <c r="B127" s="818"/>
      <c r="C127" s="837"/>
      <c r="D127" s="837"/>
      <c r="E127" s="837"/>
      <c r="F127" s="837"/>
      <c r="G127" s="837"/>
      <c r="H127" s="837"/>
      <c r="I127" s="837"/>
      <c r="J127" s="837"/>
      <c r="K127" s="837"/>
      <c r="L127" s="837"/>
      <c r="M127" s="837"/>
      <c r="N127" s="837"/>
      <c r="O127" s="837"/>
      <c r="P127" s="837"/>
      <c r="Q127" s="837"/>
      <c r="R127" s="837"/>
      <c r="S127" s="837"/>
      <c r="T127" s="837"/>
      <c r="U127" s="837"/>
      <c r="V127" s="837"/>
      <c r="W127" s="837"/>
      <c r="X127" s="837"/>
      <c r="Y127" s="837"/>
      <c r="Z127" s="837"/>
      <c r="AA127" s="837"/>
      <c r="AB127" s="837"/>
      <c r="AC127" s="837"/>
      <c r="AD127" s="837"/>
      <c r="AE127" s="837"/>
      <c r="AF127" s="837"/>
      <c r="AG127" s="837"/>
      <c r="AH127" s="837"/>
      <c r="AI127" s="837"/>
      <c r="AJ127" s="837"/>
      <c r="AK127" s="837"/>
      <c r="AL127" s="837"/>
      <c r="AM127" s="837"/>
      <c r="AN127" s="837"/>
      <c r="AO127" s="837"/>
      <c r="AP127" s="837"/>
      <c r="AQ127" s="837"/>
      <c r="AR127" s="837"/>
      <c r="AS127" s="837"/>
      <c r="AT127" s="837"/>
      <c r="AU127" s="837"/>
      <c r="AV127" s="837"/>
      <c r="AW127" s="837"/>
      <c r="AX127" s="837"/>
      <c r="AY127" s="837"/>
      <c r="AZ127" s="837"/>
      <c r="BA127" s="837"/>
      <c r="BB127" s="837"/>
      <c r="BC127" s="837"/>
      <c r="BD127" s="837"/>
      <c r="BE127" s="837"/>
      <c r="BF127" s="837"/>
      <c r="BG127" s="837"/>
      <c r="BH127" s="838"/>
      <c r="BI127" s="837"/>
      <c r="BJ127" s="837"/>
      <c r="BK127" s="837"/>
      <c r="BL127" s="837"/>
      <c r="BM127" s="837"/>
      <c r="BN127" s="837"/>
      <c r="BO127" s="837"/>
      <c r="BP127" s="837"/>
      <c r="BQ127" s="837"/>
      <c r="BR127" s="837"/>
      <c r="BS127" s="457"/>
    </row>
    <row r="128" spans="1:71" s="24" customFormat="1" ht="15">
      <c r="A128" s="568" t="s">
        <v>797</v>
      </c>
      <c r="B128" s="231"/>
      <c r="C128" s="1011">
        <f t="shared" si="382" ref="C128:AQ128">C58/C40</f>
        <v>1.0054819552306991</v>
      </c>
      <c r="D128" s="1011">
        <f t="shared" si="382"/>
        <v>1.003453237410072</v>
      </c>
      <c r="E128" s="1011">
        <f t="shared" si="382"/>
        <v>1.0020273401297497</v>
      </c>
      <c r="F128" s="1011">
        <f t="shared" si="382"/>
        <v>0.99379157427937914</v>
      </c>
      <c r="G128" s="1011">
        <f t="shared" si="382"/>
        <v>0.98652478477086791</v>
      </c>
      <c r="H128" s="130">
        <f t="shared" si="382"/>
        <v>0.97214772023932328</v>
      </c>
      <c r="I128" s="130">
        <f t="shared" si="382"/>
        <v>0.98670484761709965</v>
      </c>
      <c r="J128" s="130">
        <f t="shared" si="382"/>
        <v>0.96430684283178858</v>
      </c>
      <c r="K128" s="130">
        <f t="shared" si="382"/>
        <v>1.011725982308167</v>
      </c>
      <c r="L128" s="1011">
        <f t="shared" si="382"/>
        <v>0.9835265405735204</v>
      </c>
      <c r="M128" s="130">
        <f t="shared" si="382"/>
        <v>0.97322126661454256</v>
      </c>
      <c r="N128" s="130">
        <f t="shared" si="382"/>
        <v>0.992583918813427</v>
      </c>
      <c r="O128" s="130">
        <f t="shared" si="382"/>
        <v>0.96770559519339094</v>
      </c>
      <c r="P128" s="130">
        <f t="shared" si="382"/>
        <v>1.0186420722135008</v>
      </c>
      <c r="Q128" s="1011">
        <f t="shared" si="382"/>
        <v>0.98780369760913755</v>
      </c>
      <c r="R128" s="130">
        <f t="shared" si="382"/>
        <v>0.98065000939319935</v>
      </c>
      <c r="S128" s="130">
        <f t="shared" si="382"/>
        <v>1.0001885014137606</v>
      </c>
      <c r="T128" s="130">
        <f t="shared" si="382"/>
        <v>0.96957072994022819</v>
      </c>
      <c r="U128" s="130">
        <f t="shared" si="382"/>
        <v>1.0206595905989386</v>
      </c>
      <c r="V128" s="1011">
        <f t="shared" si="382"/>
        <v>0.99248541423570591</v>
      </c>
      <c r="W128" s="130">
        <f t="shared" si="382"/>
        <v>0.98934998163789933</v>
      </c>
      <c r="X128" s="130">
        <f t="shared" si="382"/>
        <v>0.99615314160102586</v>
      </c>
      <c r="Y128" s="130">
        <f t="shared" si="382"/>
        <v>0.97122175141242939</v>
      </c>
      <c r="Z128" s="130">
        <f t="shared" si="382"/>
        <v>1.0142517814726841</v>
      </c>
      <c r="AA128" s="1011">
        <f t="shared" si="382"/>
        <v>0.99255965883313679</v>
      </c>
      <c r="AB128" s="130">
        <f t="shared" si="382"/>
        <v>0.97421153511064651</v>
      </c>
      <c r="AC128" s="130">
        <f t="shared" si="382"/>
        <v>0.98583030931397964</v>
      </c>
      <c r="AD128" s="130">
        <f t="shared" si="382"/>
        <v>0.96843160180390842</v>
      </c>
      <c r="AE128" s="130">
        <f t="shared" si="382"/>
        <v>1.0037581141100103</v>
      </c>
      <c r="AF128" s="1011">
        <f t="shared" si="382"/>
        <v>0.98301022809945648</v>
      </c>
      <c r="AG128" s="130">
        <f t="shared" si="382"/>
        <v>0.9806515627583926</v>
      </c>
      <c r="AH128" s="130">
        <f t="shared" si="382"/>
        <v>0.99145720387711511</v>
      </c>
      <c r="AI128" s="130">
        <f t="shared" si="382"/>
        <v>0.96954233774517617</v>
      </c>
      <c r="AJ128" s="130">
        <f t="shared" si="382"/>
        <v>1.0141984480766055</v>
      </c>
      <c r="AK128" s="1011">
        <f t="shared" si="382"/>
        <v>0.98879895347886515</v>
      </c>
      <c r="AL128" s="130">
        <f t="shared" si="382"/>
        <v>0.99130294733451441</v>
      </c>
      <c r="AM128" s="130">
        <f t="shared" si="382"/>
        <v>0.99709208400646199</v>
      </c>
      <c r="AN128" s="130">
        <f t="shared" si="382"/>
        <v>0.98166297818526715</v>
      </c>
      <c r="AO128" s="130">
        <f t="shared" si="382"/>
        <v>1.0368671423717295</v>
      </c>
      <c r="AP128" s="1011">
        <f t="shared" si="382"/>
        <v>1.0011783348909025</v>
      </c>
      <c r="AQ128" s="130">
        <f t="shared" si="382"/>
        <v>0.97104962920707361</v>
      </c>
      <c r="AR128" s="130">
        <f t="shared" si="383" ref="AR128:AZ128">AR58/AR40</f>
        <v>1.009533587562335</v>
      </c>
      <c r="AS128" s="130">
        <f t="shared" si="383"/>
        <v>0.96388230372333006</v>
      </c>
      <c r="AT128" s="130">
        <f t="shared" si="383"/>
        <v>1.0225815850815851</v>
      </c>
      <c r="AU128" s="1011">
        <f t="shared" si="383"/>
        <v>0.99131527005203657</v>
      </c>
      <c r="AV128" s="130">
        <f t="shared" si="383"/>
        <v>0.93639248875958736</v>
      </c>
      <c r="AW128" s="130">
        <f t="shared" si="383"/>
        <v>0.9836680053547523</v>
      </c>
      <c r="AX128" s="130">
        <f t="shared" si="383"/>
        <v>0.95992366412213737</v>
      </c>
      <c r="AY128" s="130">
        <f t="shared" si="383"/>
        <v>0.99575508103936194</v>
      </c>
      <c r="AZ128" s="1011">
        <f t="shared" si="383"/>
        <v>0.96898845627078845</v>
      </c>
      <c r="BA128" s="130">
        <f t="shared" si="384" ref="BA128:BA133">BA58/BA40</f>
        <v>0.94717930291052821</v>
      </c>
      <c r="BB128" s="130">
        <f t="shared" si="385" ref="BB128:BC131">BB58/BB40</f>
        <v>0.98210182609747254</v>
      </c>
      <c r="BC128" s="130">
        <f t="shared" si="385"/>
        <v>0.95153933865450402</v>
      </c>
      <c r="BD128" s="130">
        <f t="shared" si="386" ref="BD128:BE131">BD58/BD40</f>
        <v>0.99953325554259043</v>
      </c>
      <c r="BE128" s="1011">
        <f t="shared" si="386"/>
        <v>0.9700217916249485</v>
      </c>
      <c r="BF128" s="130">
        <f t="shared" si="387" ref="BF128:BF133">BF58/BF40</f>
        <v>0.93812119268996474</v>
      </c>
      <c r="BG128" s="130">
        <f t="shared" si="388" ref="BG128:BG133">BG58/BG40</f>
        <v>0.97791900043084878</v>
      </c>
      <c r="BH128" s="748">
        <f t="shared" si="389" ref="BH128:BH133">BH58/BH40</f>
        <v>0.97179997903344162</v>
      </c>
      <c r="BI128" s="905">
        <v>1.1499999999999999</v>
      </c>
      <c r="BJ128" s="1011">
        <f>BJ58/BJ40</f>
        <v>1.0056533054846277</v>
      </c>
      <c r="BK128" s="905">
        <v>0.99</v>
      </c>
      <c r="BL128" s="905">
        <v>0.99</v>
      </c>
      <c r="BM128" s="905">
        <v>0.99</v>
      </c>
      <c r="BN128" s="905">
        <v>1.1499999999999999</v>
      </c>
      <c r="BO128" s="1011">
        <f t="shared" si="390" ref="BO128:BO133">BO58/BO40</f>
        <v>1.0267366711683881</v>
      </c>
      <c r="BP128" s="1012">
        <v>0.99</v>
      </c>
      <c r="BQ128" s="1012">
        <v>0.99</v>
      </c>
      <c r="BR128" s="1012">
        <v>0.99</v>
      </c>
      <c r="BS128" s="47"/>
    </row>
    <row r="129" spans="1:71" s="24" customFormat="1" ht="15">
      <c r="A129" s="568" t="s">
        <v>798</v>
      </c>
      <c r="B129" s="231"/>
      <c r="C129" s="1011">
        <f t="shared" si="391" ref="C129:AQ129">C59/C41</f>
        <v>1.0056263445308622</v>
      </c>
      <c r="D129" s="1011">
        <f t="shared" si="391"/>
        <v>0.99476268412438629</v>
      </c>
      <c r="E129" s="1011">
        <f t="shared" si="391"/>
        <v>0.99120703437250202</v>
      </c>
      <c r="F129" s="1011">
        <f t="shared" si="391"/>
        <v>0.98467017652524003</v>
      </c>
      <c r="G129" s="1011">
        <f t="shared" si="391"/>
        <v>0.97970370370370374</v>
      </c>
      <c r="H129" s="130">
        <f t="shared" si="391"/>
        <v>1.1679284239504473</v>
      </c>
      <c r="I129" s="130">
        <f t="shared" si="391"/>
        <v>0.90115667718191372</v>
      </c>
      <c r="J129" s="130">
        <f t="shared" si="391"/>
        <v>0.88280060882800604</v>
      </c>
      <c r="K129" s="130">
        <f t="shared" si="391"/>
        <v>1.0162318840579709</v>
      </c>
      <c r="L129" s="1011">
        <f t="shared" si="391"/>
        <v>0.9791518933484612</v>
      </c>
      <c r="M129" s="130">
        <f t="shared" si="391"/>
        <v>1.1779264214046823</v>
      </c>
      <c r="N129" s="130">
        <f t="shared" si="391"/>
        <v>0.90468909276248721</v>
      </c>
      <c r="O129" s="130">
        <f t="shared" si="391"/>
        <v>0.8877349159248269</v>
      </c>
      <c r="P129" s="130">
        <f t="shared" si="391"/>
        <v>1.0261512222853895</v>
      </c>
      <c r="Q129" s="1011">
        <f t="shared" si="391"/>
        <v>0.98590770931196459</v>
      </c>
      <c r="R129" s="130">
        <f t="shared" si="391"/>
        <v>1.2010617120106171</v>
      </c>
      <c r="S129" s="130">
        <f t="shared" si="391"/>
        <v>0.9208523592085236</v>
      </c>
      <c r="T129" s="130">
        <f t="shared" si="391"/>
        <v>0.90378863409770693</v>
      </c>
      <c r="U129" s="130">
        <f t="shared" si="391"/>
        <v>1.035876993166287</v>
      </c>
      <c r="V129" s="1011">
        <f t="shared" si="391"/>
        <v>1.0023480662983426</v>
      </c>
      <c r="W129" s="130">
        <f t="shared" si="391"/>
        <v>1.2019867549668874</v>
      </c>
      <c r="X129" s="130">
        <f t="shared" si="391"/>
        <v>0.91712986356745829</v>
      </c>
      <c r="Y129" s="130">
        <f t="shared" si="391"/>
        <v>0.89235265465172919</v>
      </c>
      <c r="Z129" s="130">
        <f t="shared" si="391"/>
        <v>1.0221238938053097</v>
      </c>
      <c r="AA129" s="1011">
        <f t="shared" si="391"/>
        <v>0.99455782312925167</v>
      </c>
      <c r="AB129" s="130">
        <f t="shared" si="391"/>
        <v>1.1755725190839694</v>
      </c>
      <c r="AC129" s="130">
        <f t="shared" si="391"/>
        <v>0.89443378119001915</v>
      </c>
      <c r="AD129" s="130">
        <f t="shared" si="391"/>
        <v>0.88199626865671643</v>
      </c>
      <c r="AE129" s="130">
        <f t="shared" si="391"/>
        <v>1.0084299262381453</v>
      </c>
      <c r="AF129" s="1011">
        <f t="shared" si="391"/>
        <v>0.97648739932449991</v>
      </c>
      <c r="AG129" s="130">
        <f t="shared" si="391"/>
        <v>1.1545346062052506</v>
      </c>
      <c r="AH129" s="130">
        <f t="shared" si="391"/>
        <v>0.88237945020279407</v>
      </c>
      <c r="AI129" s="130">
        <f t="shared" si="391"/>
        <v>0.87281468531468531</v>
      </c>
      <c r="AJ129" s="130">
        <f t="shared" si="391"/>
        <v>1.0201816347124117</v>
      </c>
      <c r="AK129" s="1011">
        <f t="shared" si="391"/>
        <v>0.96901408450704229</v>
      </c>
      <c r="AL129" s="130">
        <f t="shared" si="391"/>
        <v>1.1760969976905311</v>
      </c>
      <c r="AM129" s="130">
        <f t="shared" si="391"/>
        <v>0.8992994746059545</v>
      </c>
      <c r="AN129" s="130">
        <f t="shared" si="391"/>
        <v>0.88627618640444639</v>
      </c>
      <c r="AO129" s="130">
        <f t="shared" si="391"/>
        <v>1.0220048899755501</v>
      </c>
      <c r="AP129" s="1011">
        <f t="shared" si="391"/>
        <v>0.98261904761904761</v>
      </c>
      <c r="AQ129" s="130">
        <f t="shared" si="391"/>
        <v>1.1483437349975996</v>
      </c>
      <c r="AR129" s="130">
        <f t="shared" si="392" ref="AR129:AZ129">AR59/AR41</f>
        <v>0.8857457751653196</v>
      </c>
      <c r="AS129" s="130">
        <f t="shared" si="392"/>
        <v>0.83954727030625831</v>
      </c>
      <c r="AT129" s="130">
        <f t="shared" si="392"/>
        <v>0.97089552238805965</v>
      </c>
      <c r="AU129" s="1011">
        <f t="shared" si="392"/>
        <v>0.9464200591095433</v>
      </c>
      <c r="AV129" s="130">
        <f t="shared" si="392"/>
        <v>1.0370678883798417</v>
      </c>
      <c r="AW129" s="130">
        <f t="shared" si="392"/>
        <v>0.81902330035110116</v>
      </c>
      <c r="AX129" s="130">
        <f t="shared" si="392"/>
        <v>0.80401704199634816</v>
      </c>
      <c r="AY129" s="130">
        <f t="shared" si="392"/>
        <v>0.92896174863387981</v>
      </c>
      <c r="AZ129" s="1011">
        <f t="shared" si="392"/>
        <v>0.88678924072182497</v>
      </c>
      <c r="BA129" s="130">
        <f t="shared" si="384"/>
        <v>1.1089187056037886</v>
      </c>
      <c r="BB129" s="130">
        <f t="shared" si="385"/>
        <v>0.85270629991126889</v>
      </c>
      <c r="BC129" s="130">
        <f t="shared" si="385"/>
        <v>0.84226950354609931</v>
      </c>
      <c r="BD129" s="130">
        <f t="shared" si="386"/>
        <v>0.97868956743002544</v>
      </c>
      <c r="BE129" s="1011">
        <f t="shared" si="386"/>
        <v>0.93285123966942152</v>
      </c>
      <c r="BF129" s="130">
        <f t="shared" si="387"/>
        <v>1.0974251913709117</v>
      </c>
      <c r="BG129" s="130">
        <f t="shared" si="388"/>
        <v>0.84655396618985701</v>
      </c>
      <c r="BH129" s="748">
        <f t="shared" si="389"/>
        <v>0.83550208691382277</v>
      </c>
      <c r="BI129" s="905">
        <v>0.98</v>
      </c>
      <c r="BJ129" s="1011">
        <f>BJ59/BJ41</f>
        <v>0.9245408889017912</v>
      </c>
      <c r="BK129" s="905">
        <v>0.98</v>
      </c>
      <c r="BL129" s="905">
        <v>0.98</v>
      </c>
      <c r="BM129" s="905">
        <v>0.98</v>
      </c>
      <c r="BN129" s="905">
        <v>0.98</v>
      </c>
      <c r="BO129" s="1011">
        <f t="shared" si="390"/>
        <v>0.98</v>
      </c>
      <c r="BP129" s="1012">
        <v>0.99</v>
      </c>
      <c r="BQ129" s="1012">
        <v>0.98</v>
      </c>
      <c r="BR129" s="1012">
        <v>0.98</v>
      </c>
      <c r="BS129" s="47"/>
    </row>
    <row r="130" spans="1:71" s="24" customFormat="1" ht="15">
      <c r="A130" s="568" t="s">
        <v>799</v>
      </c>
      <c r="B130" s="231"/>
      <c r="C130" s="1011">
        <f t="shared" si="393" ref="C130:AQ130">C60/C42</f>
        <v>1.0384774513860158</v>
      </c>
      <c r="D130" s="1011">
        <f t="shared" si="393"/>
        <v>1.0086741016109046</v>
      </c>
      <c r="E130" s="1011">
        <f t="shared" si="393"/>
        <v>0.99491740787801775</v>
      </c>
      <c r="F130" s="1011">
        <f t="shared" si="393"/>
        <v>0.98883374689826298</v>
      </c>
      <c r="G130" s="1011">
        <f t="shared" si="393"/>
        <v>0.99027355623100299</v>
      </c>
      <c r="H130" s="130">
        <f t="shared" si="393"/>
        <v>1.0928381962864722</v>
      </c>
      <c r="I130" s="130">
        <f t="shared" si="393"/>
        <v>0.9282511210762332</v>
      </c>
      <c r="J130" s="130">
        <f t="shared" si="393"/>
        <v>0.91666666666666663</v>
      </c>
      <c r="K130" s="130">
        <f t="shared" si="393"/>
        <v>1.0346534653465347</v>
      </c>
      <c r="L130" s="1011">
        <f t="shared" si="393"/>
        <v>0.98752228163992872</v>
      </c>
      <c r="M130" s="130">
        <f t="shared" si="393"/>
        <v>1.0966057441253263</v>
      </c>
      <c r="N130" s="130">
        <f t="shared" si="393"/>
        <v>0.93171806167400884</v>
      </c>
      <c r="O130" s="130">
        <f t="shared" si="393"/>
        <v>0.92391304347826086</v>
      </c>
      <c r="P130" s="130">
        <f t="shared" si="393"/>
        <v>1.0547263681592041</v>
      </c>
      <c r="Q130" s="1011">
        <f t="shared" si="393"/>
        <v>0.99587992937021774</v>
      </c>
      <c r="R130" s="130">
        <f t="shared" si="393"/>
        <v>1.1196808510638299</v>
      </c>
      <c r="S130" s="130">
        <f t="shared" si="393"/>
        <v>0.92778993435448576</v>
      </c>
      <c r="T130" s="130">
        <f t="shared" si="393"/>
        <v>0.89873417721518989</v>
      </c>
      <c r="U130" s="130">
        <f t="shared" si="393"/>
        <v>1.0287769784172662</v>
      </c>
      <c r="V130" s="1011">
        <f t="shared" si="393"/>
        <v>0.9860788863109049</v>
      </c>
      <c r="W130" s="130">
        <f t="shared" si="393"/>
        <v>1.1051282051282052</v>
      </c>
      <c r="X130" s="130">
        <f t="shared" si="393"/>
        <v>0.93162393162393164</v>
      </c>
      <c r="Y130" s="130">
        <f t="shared" si="393"/>
        <v>0.91841004184100417</v>
      </c>
      <c r="Z130" s="130">
        <f t="shared" si="393"/>
        <v>1.0277777777777777</v>
      </c>
      <c r="AA130" s="1011">
        <f t="shared" si="393"/>
        <v>0.98981900452488691</v>
      </c>
      <c r="AB130" s="130">
        <f t="shared" si="393"/>
        <v>1.1212121212121211</v>
      </c>
      <c r="AC130" s="130">
        <f t="shared" si="393"/>
        <v>0.91365461847389562</v>
      </c>
      <c r="AD130" s="130">
        <f t="shared" si="393"/>
        <v>0.91733870967741937</v>
      </c>
      <c r="AE130" s="130">
        <f t="shared" si="393"/>
        <v>1.0294784580498866</v>
      </c>
      <c r="AF130" s="1011">
        <f t="shared" si="393"/>
        <v>0.9874385581649372</v>
      </c>
      <c r="AG130" s="130">
        <f t="shared" si="393"/>
        <v>1.0954653937947494</v>
      </c>
      <c r="AH130" s="130">
        <f t="shared" si="393"/>
        <v>0.92215568862275454</v>
      </c>
      <c r="AI130" s="130">
        <f t="shared" si="393"/>
        <v>0.91067961165048539</v>
      </c>
      <c r="AJ130" s="130">
        <f t="shared" si="393"/>
        <v>1.0351648351648353</v>
      </c>
      <c r="AK130" s="1011">
        <f t="shared" si="393"/>
        <v>0.98465608465608467</v>
      </c>
      <c r="AL130" s="130">
        <f t="shared" si="393"/>
        <v>1.0953488372093023</v>
      </c>
      <c r="AM130" s="130">
        <f t="shared" si="393"/>
        <v>0.90530303030303028</v>
      </c>
      <c r="AN130" s="130">
        <f t="shared" si="393"/>
        <v>0.89667896678966785</v>
      </c>
      <c r="AO130" s="130">
        <f t="shared" si="393"/>
        <v>1.0408602150537634</v>
      </c>
      <c r="AP130" s="1011">
        <f t="shared" si="393"/>
        <v>0.97659033078880408</v>
      </c>
      <c r="AQ130" s="130">
        <f t="shared" si="393"/>
        <v>1.0609243697478992</v>
      </c>
      <c r="AR130" s="130">
        <f t="shared" si="394" ref="AR130:AZ130">AR60/AR42</f>
        <v>0.89637305699481862</v>
      </c>
      <c r="AS130" s="130">
        <f t="shared" si="394"/>
        <v>0.89212328767123283</v>
      </c>
      <c r="AT130" s="130">
        <f t="shared" si="394"/>
        <v>1.0290135396518376</v>
      </c>
      <c r="AU130" s="1011">
        <f t="shared" si="394"/>
        <v>0.9633580705009277</v>
      </c>
      <c r="AV130" s="130">
        <f t="shared" si="394"/>
        <v>1.0535714285714286</v>
      </c>
      <c r="AW130" s="130">
        <f t="shared" si="394"/>
        <v>0.89490968801313631</v>
      </c>
      <c r="AX130" s="130">
        <f t="shared" si="394"/>
        <v>0.8910891089108911</v>
      </c>
      <c r="AY130" s="130">
        <f t="shared" si="394"/>
        <v>1.0245283018867926</v>
      </c>
      <c r="AZ130" s="1011">
        <f t="shared" si="394"/>
        <v>0.95998221431747444</v>
      </c>
      <c r="BA130" s="130">
        <f t="shared" si="384"/>
        <v>1.0255474452554745</v>
      </c>
      <c r="BB130" s="130">
        <f t="shared" si="385"/>
        <v>0.86962962962962964</v>
      </c>
      <c r="BC130" s="130">
        <f t="shared" si="385"/>
        <v>0.89940828402366868</v>
      </c>
      <c r="BD130" s="130">
        <f t="shared" si="386"/>
        <v>1.0161290322580645</v>
      </c>
      <c r="BE130" s="1011">
        <f t="shared" si="386"/>
        <v>0.94759825327510916</v>
      </c>
      <c r="BF130" s="130">
        <f t="shared" si="387"/>
        <v>0.99848484848484853</v>
      </c>
      <c r="BG130" s="130">
        <f t="shared" si="388"/>
        <v>0.82958579881656802</v>
      </c>
      <c r="BH130" s="748">
        <f t="shared" si="389"/>
        <v>0.87882496940024479</v>
      </c>
      <c r="BI130" s="905">
        <v>0.98</v>
      </c>
      <c r="BJ130" s="1011">
        <f>BJ60/BJ42</f>
        <v>0.91213328753005851</v>
      </c>
      <c r="BK130" s="905">
        <v>0.98</v>
      </c>
      <c r="BL130" s="905">
        <v>0.98</v>
      </c>
      <c r="BM130" s="905">
        <v>0.98</v>
      </c>
      <c r="BN130" s="905">
        <v>0.98</v>
      </c>
      <c r="BO130" s="1011">
        <f t="shared" si="390"/>
        <v>0.97999999999999987</v>
      </c>
      <c r="BP130" s="1012">
        <v>0.99</v>
      </c>
      <c r="BQ130" s="1012">
        <v>0.98</v>
      </c>
      <c r="BR130" s="1012">
        <v>0.98</v>
      </c>
      <c r="BS130" s="47"/>
    </row>
    <row r="131" spans="1:71" s="24" customFormat="1" ht="15">
      <c r="A131" s="568" t="s">
        <v>800</v>
      </c>
      <c r="B131" s="231"/>
      <c r="C131" s="1011"/>
      <c r="D131" s="1011"/>
      <c r="E131" s="1011">
        <f t="shared" si="395" ref="E131:AQ131">E61/E43</f>
        <v>1.048728813559322</v>
      </c>
      <c r="F131" s="1011">
        <f t="shared" si="395"/>
        <v>1.0176211453744493</v>
      </c>
      <c r="G131" s="1011">
        <f t="shared" si="395"/>
        <v>0.97854077253218885</v>
      </c>
      <c r="H131" s="130">
        <f t="shared" si="395"/>
        <v>0.94827586206896552</v>
      </c>
      <c r="I131" s="130">
        <f t="shared" si="395"/>
        <v>0.93076923076923079</v>
      </c>
      <c r="J131" s="130">
        <f t="shared" si="395"/>
        <v>0.98360655737704916</v>
      </c>
      <c r="K131" s="130">
        <f t="shared" si="395"/>
        <v>0.99206349206349209</v>
      </c>
      <c r="L131" s="1011">
        <f t="shared" si="395"/>
        <v>0.96356275303643724</v>
      </c>
      <c r="M131" s="130">
        <f t="shared" si="395"/>
        <v>0.9765625</v>
      </c>
      <c r="N131" s="130">
        <f t="shared" si="395"/>
        <v>0.92753623188405798</v>
      </c>
      <c r="O131" s="130">
        <f t="shared" si="395"/>
        <v>1.032258064516129</v>
      </c>
      <c r="P131" s="130">
        <f t="shared" si="395"/>
        <v>1.0238095238095237</v>
      </c>
      <c r="Q131" s="1011">
        <f t="shared" si="395"/>
        <v>0.98837209302325579</v>
      </c>
      <c r="R131" s="130">
        <f t="shared" si="395"/>
        <v>1.0238095238095237</v>
      </c>
      <c r="S131" s="130">
        <f t="shared" si="395"/>
        <v>0.94074074074074077</v>
      </c>
      <c r="T131" s="130">
        <f t="shared" si="395"/>
        <v>1.032520325203252</v>
      </c>
      <c r="U131" s="130">
        <f t="shared" si="395"/>
        <v>1.0695652173913044</v>
      </c>
      <c r="V131" s="1011">
        <f t="shared" si="395"/>
        <v>1.0140280561122244</v>
      </c>
      <c r="W131" s="130">
        <f t="shared" si="395"/>
        <v>1.0162601626016261</v>
      </c>
      <c r="X131" s="130">
        <f t="shared" si="395"/>
        <v>0.95161290322580649</v>
      </c>
      <c r="Y131" s="130">
        <f t="shared" si="395"/>
        <v>1.0689655172413792</v>
      </c>
      <c r="Z131" s="130">
        <f t="shared" si="395"/>
        <v>1.024</v>
      </c>
      <c r="AA131" s="1011">
        <f t="shared" si="395"/>
        <v>1.014344262295082</v>
      </c>
      <c r="AB131" s="130">
        <f t="shared" si="395"/>
        <v>0.99270072992700731</v>
      </c>
      <c r="AC131" s="130">
        <f t="shared" si="395"/>
        <v>0.95930232558139539</v>
      </c>
      <c r="AD131" s="130">
        <f t="shared" si="395"/>
        <v>1.0173410404624277</v>
      </c>
      <c r="AE131" s="130">
        <f t="shared" si="395"/>
        <v>1.0056497175141244</v>
      </c>
      <c r="AF131" s="1011">
        <f t="shared" si="395"/>
        <v>0.99393019726858878</v>
      </c>
      <c r="AG131" s="130">
        <f t="shared" si="395"/>
        <v>0.98918918918918919</v>
      </c>
      <c r="AH131" s="130">
        <f t="shared" si="395"/>
        <v>0.9576271186440678</v>
      </c>
      <c r="AI131" s="130">
        <f t="shared" si="395"/>
        <v>0.99159663865546221</v>
      </c>
      <c r="AJ131" s="130">
        <f t="shared" si="395"/>
        <v>0.97530864197530864</v>
      </c>
      <c r="AK131" s="1011">
        <f t="shared" si="395"/>
        <v>0.97782705099778267</v>
      </c>
      <c r="AL131" s="130">
        <f t="shared" si="395"/>
        <v>0.98642533936651589</v>
      </c>
      <c r="AM131" s="130">
        <f t="shared" si="395"/>
        <v>0.93529411764705883</v>
      </c>
      <c r="AN131" s="130">
        <f t="shared" si="395"/>
        <v>0.97340425531914898</v>
      </c>
      <c r="AO131" s="130">
        <f t="shared" si="395"/>
        <v>0.971830985915493</v>
      </c>
      <c r="AP131" s="1011">
        <f t="shared" si="395"/>
        <v>0.96843434343434343</v>
      </c>
      <c r="AQ131" s="130">
        <f t="shared" si="395"/>
        <v>0.96446700507614214</v>
      </c>
      <c r="AR131" s="130">
        <f t="shared" si="396" ref="AR131:AZ131">AR61/AR43</f>
        <v>0.96078431372549022</v>
      </c>
      <c r="AS131" s="130">
        <f t="shared" si="396"/>
        <v>0.98550724637681164</v>
      </c>
      <c r="AT131" s="130">
        <f t="shared" si="396"/>
        <v>0.9875</v>
      </c>
      <c r="AU131" s="1011">
        <f t="shared" si="396"/>
        <v>0.97523584905660377</v>
      </c>
      <c r="AV131" s="130">
        <f t="shared" si="396"/>
        <v>0.9625850340136054</v>
      </c>
      <c r="AW131" s="130">
        <f t="shared" si="396"/>
        <v>0.9932659932659933</v>
      </c>
      <c r="AX131" s="130">
        <f t="shared" si="396"/>
        <v>1.0385964912280701</v>
      </c>
      <c r="AY131" s="130">
        <f t="shared" si="396"/>
        <v>1.0040322580645162</v>
      </c>
      <c r="AZ131" s="1011">
        <f t="shared" si="396"/>
        <v>0.99911032028469748</v>
      </c>
      <c r="BA131" s="130">
        <f t="shared" si="384"/>
        <v>1.0220264317180616</v>
      </c>
      <c r="BB131" s="130">
        <f t="shared" si="385"/>
        <v>1.01</v>
      </c>
      <c r="BC131" s="130">
        <f t="shared" si="385"/>
        <v>1.3857142857142857</v>
      </c>
      <c r="BD131" s="130">
        <f t="shared" si="386"/>
        <v>1.196078431372549</v>
      </c>
      <c r="BE131" s="1011">
        <f t="shared" si="386"/>
        <v>1.1263888888888889</v>
      </c>
      <c r="BF131" s="130">
        <f t="shared" si="387"/>
        <v>1.0764331210191083</v>
      </c>
      <c r="BG131" s="130">
        <f t="shared" si="388"/>
        <v>1.0533333333333332</v>
      </c>
      <c r="BH131" s="748">
        <f t="shared" si="389"/>
        <v>1.4519230769230769</v>
      </c>
      <c r="BI131" s="905">
        <v>1.30</v>
      </c>
      <c r="BJ131" s="1011">
        <f>BJ61/BJ43</f>
        <v>1.200447367955723</v>
      </c>
      <c r="BK131" s="905">
        <v>0.98</v>
      </c>
      <c r="BL131" s="905">
        <v>0.98</v>
      </c>
      <c r="BM131" s="905">
        <v>0.98</v>
      </c>
      <c r="BN131" s="905">
        <v>1.02</v>
      </c>
      <c r="BO131" s="1011">
        <f t="shared" si="390"/>
        <v>0.99092992414195546</v>
      </c>
      <c r="BP131" s="1012">
        <v>0.98</v>
      </c>
      <c r="BQ131" s="1012">
        <v>0.98</v>
      </c>
      <c r="BR131" s="1012">
        <v>0.98</v>
      </c>
      <c r="BS131" s="47"/>
    </row>
    <row r="132" spans="1:71" s="24" customFormat="1" ht="15">
      <c r="A132" s="568" t="s">
        <v>801</v>
      </c>
      <c r="B132" s="231"/>
      <c r="C132" s="1011"/>
      <c r="D132" s="1011"/>
      <c r="E132" s="1011">
        <f t="shared" si="397" ref="E132:Q132">E62/E44</f>
        <v>0.91826923076923073</v>
      </c>
      <c r="F132" s="1011">
        <f t="shared" si="397"/>
        <v>0.8528138528138528</v>
      </c>
      <c r="G132" s="1011">
        <f t="shared" si="397"/>
        <v>0.78239202657807305</v>
      </c>
      <c r="H132" s="130">
        <f t="shared" si="397"/>
        <v>0.75568181818181823</v>
      </c>
      <c r="I132" s="130">
        <f t="shared" si="397"/>
        <v>0.72777777777777775</v>
      </c>
      <c r="J132" s="130">
        <f t="shared" si="397"/>
        <v>0.74594594594594599</v>
      </c>
      <c r="K132" s="130">
        <f t="shared" si="397"/>
        <v>0.79545454545454541</v>
      </c>
      <c r="L132" s="1011">
        <f t="shared" si="397"/>
        <v>0.75592747559274753</v>
      </c>
      <c r="M132" s="130">
        <f t="shared" si="397"/>
        <v>0.76630434782608692</v>
      </c>
      <c r="N132" s="130">
        <f t="shared" si="397"/>
        <v>0.68844221105527637</v>
      </c>
      <c r="O132" s="130">
        <f t="shared" si="397"/>
        <v>0.7219512195121951</v>
      </c>
      <c r="P132" s="130">
        <f t="shared" si="397"/>
        <v>0.8035714285714286</v>
      </c>
      <c r="Q132" s="1011">
        <f t="shared" si="397"/>
        <v>0.74206349206349209</v>
      </c>
      <c r="R132" s="130"/>
      <c r="S132" s="130"/>
      <c r="T132" s="130"/>
      <c r="U132" s="130"/>
      <c r="V132" s="1011"/>
      <c r="W132" s="130"/>
      <c r="X132" s="130"/>
      <c r="Y132" s="130"/>
      <c r="Z132" s="130"/>
      <c r="AA132" s="1011"/>
      <c r="AB132" s="130"/>
      <c r="AC132" s="130"/>
      <c r="AD132" s="130"/>
      <c r="AE132" s="130"/>
      <c r="AF132" s="1011"/>
      <c r="AG132" s="130"/>
      <c r="AH132" s="130"/>
      <c r="AI132" s="130"/>
      <c r="AJ132" s="130"/>
      <c r="AK132" s="1011"/>
      <c r="AL132" s="130"/>
      <c r="AM132" s="130"/>
      <c r="AN132" s="130"/>
      <c r="AO132" s="130"/>
      <c r="AP132" s="1011"/>
      <c r="AQ132" s="130"/>
      <c r="AR132" s="130"/>
      <c r="AS132" s="130"/>
      <c r="AT132" s="130"/>
      <c r="AU132" s="1011"/>
      <c r="AV132" s="130"/>
      <c r="AW132" s="130"/>
      <c r="AX132" s="130"/>
      <c r="AY132" s="130"/>
      <c r="AZ132" s="1011"/>
      <c r="BA132" s="130">
        <f t="shared" si="398" ref="BA132:BE132">BA62/BA44</f>
        <v>0.98399999999999999</v>
      </c>
      <c r="BB132" s="130">
        <f t="shared" si="398"/>
        <v>1.3473684210526315</v>
      </c>
      <c r="BC132" s="130">
        <f t="shared" si="398"/>
        <v>0.79792746113989632</v>
      </c>
      <c r="BD132" s="130">
        <f t="shared" si="398"/>
        <v>0.94771241830065356</v>
      </c>
      <c r="BE132" s="1011">
        <f t="shared" si="398"/>
        <v>0.9717314487632509</v>
      </c>
      <c r="BF132" s="130">
        <f t="shared" si="387"/>
        <v>1.037037037037037</v>
      </c>
      <c r="BG132" s="130">
        <f t="shared" si="388"/>
        <v>0.9419354838709677</v>
      </c>
      <c r="BH132" s="748">
        <f t="shared" si="389"/>
        <v>0.87356321839080464</v>
      </c>
      <c r="BI132" s="905">
        <v>0.98</v>
      </c>
      <c r="BJ132" s="1011">
        <f>BJ62/BJ44</f>
        <v>0.95161290322580649</v>
      </c>
      <c r="BK132" s="905">
        <v>0.98</v>
      </c>
      <c r="BL132" s="905">
        <v>0.98</v>
      </c>
      <c r="BM132" s="905">
        <v>0.98</v>
      </c>
      <c r="BN132" s="905">
        <v>0.98</v>
      </c>
      <c r="BO132" s="1011">
        <f t="shared" si="390"/>
        <v>0.98</v>
      </c>
      <c r="BP132" s="1012">
        <v>0.98</v>
      </c>
      <c r="BQ132" s="1012">
        <v>0.98</v>
      </c>
      <c r="BR132" s="1012">
        <v>0.98</v>
      </c>
      <c r="BS132" s="47"/>
    </row>
    <row r="133" spans="1:71" s="24" customFormat="1" ht="15">
      <c r="A133" s="346" t="s">
        <v>554</v>
      </c>
      <c r="B133" s="489"/>
      <c r="C133" s="1013">
        <f>C63/C45</f>
        <v>1.0085861697212382</v>
      </c>
      <c r="D133" s="1013">
        <f>D63/D45</f>
        <v>1.0018914537172856</v>
      </c>
      <c r="E133" s="1013">
        <f t="shared" si="399" ref="E133:Q133">E63/E45</f>
        <v>0.99849890304453259</v>
      </c>
      <c r="F133" s="1013">
        <f t="shared" si="399"/>
        <v>0.98930659365055873</v>
      </c>
      <c r="G133" s="1013">
        <f t="shared" si="399"/>
        <v>0.98061354921175969</v>
      </c>
      <c r="H133" s="406">
        <f t="shared" si="399"/>
        <v>1.013631797962405</v>
      </c>
      <c r="I133" s="406">
        <f t="shared" si="399"/>
        <v>0.95455147740824164</v>
      </c>
      <c r="J133" s="406">
        <f t="shared" si="399"/>
        <v>0.93606662395900064</v>
      </c>
      <c r="K133" s="406">
        <f t="shared" si="399"/>
        <v>0.98930334613274817</v>
      </c>
      <c r="L133" s="1013">
        <f t="shared" si="399"/>
        <v>0.97686826731503051</v>
      </c>
      <c r="M133" s="406">
        <f t="shared" si="399"/>
        <v>1.0164248562825076</v>
      </c>
      <c r="N133" s="406">
        <f t="shared" si="399"/>
        <v>0.95835978164275737</v>
      </c>
      <c r="O133" s="406">
        <f t="shared" si="399"/>
        <v>0.9401499324075212</v>
      </c>
      <c r="P133" s="406">
        <f t="shared" si="399"/>
        <v>0.99973513441928219</v>
      </c>
      <c r="Q133" s="1013">
        <f t="shared" si="399"/>
        <v>0.98179521233520128</v>
      </c>
      <c r="R133" s="406">
        <f t="shared" si="400" ref="R133:AQ133">R63/R45</f>
        <v>1.0338243316966722</v>
      </c>
      <c r="S133" s="406">
        <f t="shared" si="400"/>
        <v>0.97508896797153022</v>
      </c>
      <c r="T133" s="406">
        <f t="shared" si="400"/>
        <v>0.95014771048744462</v>
      </c>
      <c r="U133" s="406">
        <f t="shared" si="400"/>
        <v>1.0253833950290852</v>
      </c>
      <c r="V133" s="1013">
        <f t="shared" si="400"/>
        <v>0.99478761978761976</v>
      </c>
      <c r="W133" s="406">
        <f t="shared" si="400"/>
        <v>1.0388271522292141</v>
      </c>
      <c r="X133" s="406">
        <f t="shared" si="400"/>
        <v>0.97222914072229139</v>
      </c>
      <c r="Y133" s="406">
        <f t="shared" si="400"/>
        <v>0.95006617735531229</v>
      </c>
      <c r="Z133" s="406">
        <f t="shared" si="400"/>
        <v>1.0169686144424599</v>
      </c>
      <c r="AA133" s="1013">
        <f t="shared" si="400"/>
        <v>0.99320652173913049</v>
      </c>
      <c r="AB133" s="406">
        <f t="shared" si="400"/>
        <v>1.0223100458949514</v>
      </c>
      <c r="AC133" s="406">
        <f t="shared" si="400"/>
        <v>0.95878702728017795</v>
      </c>
      <c r="AD133" s="406">
        <f t="shared" si="400"/>
        <v>0.94545454545454544</v>
      </c>
      <c r="AE133" s="406">
        <f t="shared" si="400"/>
        <v>1.0062126642771805</v>
      </c>
      <c r="AF133" s="1013">
        <f t="shared" si="400"/>
        <v>0.98196990016390995</v>
      </c>
      <c r="AG133" s="406">
        <f t="shared" si="400"/>
        <v>1.021616428485649</v>
      </c>
      <c r="AH133" s="406">
        <f t="shared" si="400"/>
        <v>0.95996903682406276</v>
      </c>
      <c r="AI133" s="406">
        <f t="shared" si="400"/>
        <v>0.94308419243986252</v>
      </c>
      <c r="AJ133" s="406">
        <f t="shared" si="400"/>
        <v>1.0155659837472817</v>
      </c>
      <c r="AK133" s="1013">
        <f t="shared" si="400"/>
        <v>0.98373754199723318</v>
      </c>
      <c r="AL133" s="406">
        <f t="shared" si="400"/>
        <v>1.0336359404096833</v>
      </c>
      <c r="AM133" s="406">
        <f t="shared" si="400"/>
        <v>0.96631051024858261</v>
      </c>
      <c r="AN133" s="406">
        <f t="shared" si="400"/>
        <v>0.95284725918041513</v>
      </c>
      <c r="AO133" s="406">
        <f t="shared" si="400"/>
        <v>1.0319433151353234</v>
      </c>
      <c r="AP133" s="1013">
        <f t="shared" si="400"/>
        <v>0.99474390516662936</v>
      </c>
      <c r="AQ133" s="406">
        <f t="shared" si="400"/>
        <v>1.0131040131040132</v>
      </c>
      <c r="AR133" s="406">
        <f t="shared" si="401" ref="AR133:AW133">AR63/AR45</f>
        <v>0.96958248571151795</v>
      </c>
      <c r="AS133" s="406">
        <f t="shared" si="401"/>
        <v>0.92640890023709643</v>
      </c>
      <c r="AT133" s="406">
        <f t="shared" si="401"/>
        <v>1.0086399378701096</v>
      </c>
      <c r="AU133" s="1013">
        <f t="shared" si="401"/>
        <v>0.97814207650273222</v>
      </c>
      <c r="AV133" s="406">
        <f t="shared" si="401"/>
        <v>0.97555989220332684</v>
      </c>
      <c r="AW133" s="406">
        <f t="shared" si="401"/>
        <v>0.94482578851333743</v>
      </c>
      <c r="AX133" s="406">
        <f t="shared" si="402" ref="AX133:BJ133">AX63/AX45</f>
        <v>0.92689208274487001</v>
      </c>
      <c r="AY133" s="406">
        <f t="shared" si="402"/>
        <v>0.99128919860627174</v>
      </c>
      <c r="AZ133" s="1013">
        <f t="shared" si="402"/>
        <v>0.95898399108917376</v>
      </c>
      <c r="BA133" s="406">
        <f t="shared" si="384"/>
        <v>0.98743953152847319</v>
      </c>
      <c r="BB133" s="406">
        <f t="shared" si="403" ref="BB133:BI133">BB63/BB45</f>
        <v>0.94461172741679877</v>
      </c>
      <c r="BC133" s="406">
        <f t="shared" si="403"/>
        <v>0.92227901383042699</v>
      </c>
      <c r="BD133" s="406">
        <f t="shared" si="403"/>
        <v>0.99691455696202536</v>
      </c>
      <c r="BE133" s="1013">
        <f t="shared" si="403"/>
        <v>0.96186465926470299</v>
      </c>
      <c r="BF133" s="406">
        <f t="shared" si="387"/>
        <v>0.9785329591140105</v>
      </c>
      <c r="BG133" s="406">
        <f t="shared" si="388"/>
        <v>0.93416905945794526</v>
      </c>
      <c r="BH133" s="749">
        <f t="shared" si="389"/>
        <v>0.93112123478615627</v>
      </c>
      <c r="BI133" s="576">
        <f t="shared" si="403"/>
        <v>1.1005500276237907</v>
      </c>
      <c r="BJ133" s="1014">
        <f t="shared" si="402"/>
        <v>0.98155433748238119</v>
      </c>
      <c r="BK133" s="576">
        <f>BK63/BK45</f>
        <v>0.98720109142427359</v>
      </c>
      <c r="BL133" s="576">
        <f>BL63/BL45</f>
        <v>0.98662308520435305</v>
      </c>
      <c r="BM133" s="576">
        <f>BM63/BM45</f>
        <v>0.98661528471276516</v>
      </c>
      <c r="BN133" s="576">
        <f>BN63/BN45</f>
        <v>1.0987494023575435</v>
      </c>
      <c r="BO133" s="1014">
        <f t="shared" si="390"/>
        <v>1.0120622322589414</v>
      </c>
      <c r="BP133" s="1014">
        <f>BP63/BP45</f>
        <v>0.9898165799601657</v>
      </c>
      <c r="BQ133" s="1014">
        <f>BQ63/BQ45</f>
        <v>0.9868399278468748</v>
      </c>
      <c r="BR133" s="1014">
        <f>BR63/BR45</f>
        <v>0.98684152432957417</v>
      </c>
      <c r="BS133" s="47"/>
    </row>
    <row r="134" spans="1:71" s="25" customFormat="1" ht="15">
      <c r="A134" s="158" t="s">
        <v>553</v>
      </c>
      <c r="B134" s="393"/>
      <c r="C134" s="1015">
        <f t="shared" si="404" ref="C134:AH134">C65/C47</f>
        <v>1.008586500327288</v>
      </c>
      <c r="D134" s="1015">
        <f t="shared" si="404"/>
        <v>1.0019299803142008</v>
      </c>
      <c r="E134" s="1015">
        <f t="shared" si="404"/>
        <v>0.9985373364126251</v>
      </c>
      <c r="F134" s="1015">
        <f t="shared" si="404"/>
        <v>0.98926998926998932</v>
      </c>
      <c r="G134" s="1015">
        <f t="shared" si="404"/>
        <v>0.98061354921175969</v>
      </c>
      <c r="H134" s="158">
        <f t="shared" si="404"/>
        <v>1.013631797962405</v>
      </c>
      <c r="I134" s="158">
        <f t="shared" si="404"/>
        <v>0.95455147740824164</v>
      </c>
      <c r="J134" s="158">
        <f t="shared" si="404"/>
        <v>0.93607481424545225</v>
      </c>
      <c r="K134" s="158">
        <f t="shared" si="404"/>
        <v>0.98930334613274817</v>
      </c>
      <c r="L134" s="1015">
        <f t="shared" si="404"/>
        <v>0.97686904842304312</v>
      </c>
      <c r="M134" s="158">
        <f t="shared" si="404"/>
        <v>1.0164248562825076</v>
      </c>
      <c r="N134" s="158">
        <f t="shared" si="404"/>
        <v>0.95835978164275737</v>
      </c>
      <c r="O134" s="158">
        <f t="shared" si="404"/>
        <v>0.9401499324075212</v>
      </c>
      <c r="P134" s="158">
        <f t="shared" si="404"/>
        <v>0.99973513441928219</v>
      </c>
      <c r="Q134" s="1015">
        <f t="shared" si="404"/>
        <v>0.98179521233520128</v>
      </c>
      <c r="R134" s="158">
        <f t="shared" si="404"/>
        <v>1.0338243316966722</v>
      </c>
      <c r="S134" s="158">
        <f t="shared" si="404"/>
        <v>0.97508896797153022</v>
      </c>
      <c r="T134" s="158">
        <f t="shared" si="404"/>
        <v>0.94991385675609152</v>
      </c>
      <c r="U134" s="158">
        <f t="shared" si="404"/>
        <v>1.0252478519497688</v>
      </c>
      <c r="V134" s="1015">
        <f t="shared" si="404"/>
        <v>0.99469101032663232</v>
      </c>
      <c r="W134" s="158">
        <f t="shared" si="404"/>
        <v>1.0388271522292141</v>
      </c>
      <c r="X134" s="158">
        <f t="shared" si="404"/>
        <v>0.97222914072229139</v>
      </c>
      <c r="Y134" s="158">
        <f t="shared" si="404"/>
        <v>0.95006617735531229</v>
      </c>
      <c r="Z134" s="44">
        <f t="shared" si="404"/>
        <v>1.0169686144424599</v>
      </c>
      <c r="AA134" s="1015">
        <f t="shared" si="404"/>
        <v>0.99320652173913049</v>
      </c>
      <c r="AB134" s="158">
        <f t="shared" si="404"/>
        <v>1.0223100458949514</v>
      </c>
      <c r="AC134" s="158">
        <f t="shared" si="404"/>
        <v>0.95878702728017795</v>
      </c>
      <c r="AD134" s="158">
        <f t="shared" si="404"/>
        <v>0.94545454545454544</v>
      </c>
      <c r="AE134" s="44">
        <f t="shared" si="404"/>
        <v>1.0062126642771805</v>
      </c>
      <c r="AF134" s="1015">
        <f t="shared" si="404"/>
        <v>0.98196990016390995</v>
      </c>
      <c r="AG134" s="158">
        <f t="shared" si="404"/>
        <v>1.021616428485649</v>
      </c>
      <c r="AH134" s="158">
        <f t="shared" si="404"/>
        <v>0.95996903682406276</v>
      </c>
      <c r="AI134" s="158">
        <f t="shared" si="405" ref="AI134:AQ134">AI65/AI47</f>
        <v>0.94308419243986252</v>
      </c>
      <c r="AJ134" s="44">
        <f t="shared" si="405"/>
        <v>1.0155659837472817</v>
      </c>
      <c r="AK134" s="1015">
        <f t="shared" si="405"/>
        <v>0.98373754199723318</v>
      </c>
      <c r="AL134" s="158">
        <f t="shared" si="405"/>
        <v>1.0336359404096833</v>
      </c>
      <c r="AM134" s="158">
        <f t="shared" si="405"/>
        <v>0.96631051024858261</v>
      </c>
      <c r="AN134" s="158">
        <f t="shared" si="405"/>
        <v>0.95284725918041513</v>
      </c>
      <c r="AO134" s="44">
        <f t="shared" si="405"/>
        <v>1.0319433151353234</v>
      </c>
      <c r="AP134" s="1015">
        <f t="shared" si="405"/>
        <v>0.99474390516662936</v>
      </c>
      <c r="AQ134" s="158">
        <f t="shared" si="405"/>
        <v>1.0131040131040132</v>
      </c>
      <c r="AR134" s="158">
        <f t="shared" si="406" ref="AR134:AW134">AR65/AR47</f>
        <v>0.96958248571151795</v>
      </c>
      <c r="AS134" s="158">
        <f t="shared" si="406"/>
        <v>0.92640890023709643</v>
      </c>
      <c r="AT134" s="44">
        <f t="shared" si="406"/>
        <v>1.0086399378701096</v>
      </c>
      <c r="AU134" s="1015">
        <f t="shared" si="406"/>
        <v>0.97814207650273222</v>
      </c>
      <c r="AV134" s="158">
        <f t="shared" si="406"/>
        <v>0.97555989220332684</v>
      </c>
      <c r="AW134" s="158">
        <f t="shared" si="406"/>
        <v>0.94482578851333743</v>
      </c>
      <c r="AX134" s="158">
        <f t="shared" si="407" ref="AX134:BJ134">AX65/AX47</f>
        <v>0.92689208274487001</v>
      </c>
      <c r="AY134" s="44">
        <f t="shared" si="407"/>
        <v>0.99128919860627174</v>
      </c>
      <c r="AZ134" s="1015">
        <f t="shared" si="407"/>
        <v>0.95898399108917376</v>
      </c>
      <c r="BA134" s="158">
        <f t="shared" si="408" ref="BA134:BI134">BA65/BA47</f>
        <v>0.98743953152847319</v>
      </c>
      <c r="BB134" s="158">
        <f t="shared" si="408"/>
        <v>0.94461172741679877</v>
      </c>
      <c r="BC134" s="158">
        <f t="shared" si="408"/>
        <v>0.92227901383042699</v>
      </c>
      <c r="BD134" s="44">
        <f t="shared" si="408"/>
        <v>0.99691455696202536</v>
      </c>
      <c r="BE134" s="1015">
        <f t="shared" si="408"/>
        <v>0.96186465926470299</v>
      </c>
      <c r="BF134" s="158">
        <f>BF65/BF47</f>
        <v>0.9785329591140105</v>
      </c>
      <c r="BG134" s="158">
        <f>BG65/BG47</f>
        <v>0.93416905945794526</v>
      </c>
      <c r="BH134" s="750">
        <f>BH65/BH47</f>
        <v>0.93112123478615627</v>
      </c>
      <c r="BI134" s="393">
        <f t="shared" si="408"/>
        <v>1.1005500276237907</v>
      </c>
      <c r="BJ134" s="1016">
        <f t="shared" si="407"/>
        <v>0.98155433748238119</v>
      </c>
      <c r="BK134" s="393">
        <f t="shared" si="409" ref="BK134:BR134">BK65/BK47</f>
        <v>0.98720109142427359</v>
      </c>
      <c r="BL134" s="393">
        <f t="shared" si="409"/>
        <v>0.98662308520435305</v>
      </c>
      <c r="BM134" s="393">
        <f t="shared" si="409"/>
        <v>0.98661528471276516</v>
      </c>
      <c r="BN134" s="393">
        <f t="shared" si="409"/>
        <v>1.0987494023575435</v>
      </c>
      <c r="BO134" s="1016">
        <f t="shared" si="409"/>
        <v>1.0120622322589414</v>
      </c>
      <c r="BP134" s="1016">
        <f t="shared" si="409"/>
        <v>0.9898165799601657</v>
      </c>
      <c r="BQ134" s="1016">
        <f t="shared" si="409"/>
        <v>0.9868399278468748</v>
      </c>
      <c r="BR134" s="1016">
        <f t="shared" si="409"/>
        <v>0.98684152432957417</v>
      </c>
      <c r="BS134" s="158"/>
    </row>
    <row r="135" spans="1:71" s="25" customFormat="1" ht="15">
      <c r="A135" s="487"/>
      <c r="B135" s="488"/>
      <c r="C135" s="1016"/>
      <c r="D135" s="1016"/>
      <c r="E135" s="1016"/>
      <c r="F135" s="1016"/>
      <c r="G135" s="1016"/>
      <c r="H135" s="393"/>
      <c r="I135" s="393"/>
      <c r="J135" s="393"/>
      <c r="K135" s="393"/>
      <c r="L135" s="1016"/>
      <c r="M135" s="393"/>
      <c r="N135" s="393"/>
      <c r="O135" s="393"/>
      <c r="P135" s="393"/>
      <c r="Q135" s="1016"/>
      <c r="R135" s="393"/>
      <c r="S135" s="393"/>
      <c r="T135" s="393"/>
      <c r="U135" s="393"/>
      <c r="V135" s="1016"/>
      <c r="W135" s="393"/>
      <c r="X135" s="393"/>
      <c r="Y135" s="393"/>
      <c r="Z135" s="393"/>
      <c r="AA135" s="1016"/>
      <c r="AB135" s="393"/>
      <c r="AC135" s="393"/>
      <c r="AD135" s="393"/>
      <c r="AE135" s="393"/>
      <c r="AF135" s="1016"/>
      <c r="AG135" s="393"/>
      <c r="AH135" s="393"/>
      <c r="AI135" s="393"/>
      <c r="AJ135" s="393"/>
      <c r="AK135" s="1016"/>
      <c r="AL135" s="393"/>
      <c r="AM135" s="393"/>
      <c r="AN135" s="393"/>
      <c r="AO135" s="393"/>
      <c r="AP135" s="1016"/>
      <c r="AQ135" s="393"/>
      <c r="AR135" s="393"/>
      <c r="AS135" s="393"/>
      <c r="AT135" s="393"/>
      <c r="AU135" s="1016"/>
      <c r="AV135" s="393"/>
      <c r="AW135" s="393"/>
      <c r="AX135" s="393"/>
      <c r="AY135" s="393"/>
      <c r="AZ135" s="1016"/>
      <c r="BA135" s="393"/>
      <c r="BB135" s="393"/>
      <c r="BC135" s="393"/>
      <c r="BD135" s="393"/>
      <c r="BE135" s="1016"/>
      <c r="BF135" s="393"/>
      <c r="BG135" s="393"/>
      <c r="BH135" s="751"/>
      <c r="BI135" s="393"/>
      <c r="BJ135" s="1016"/>
      <c r="BK135" s="393"/>
      <c r="BL135" s="393"/>
      <c r="BM135" s="393"/>
      <c r="BN135" s="393"/>
      <c r="BO135" s="1016"/>
      <c r="BP135" s="1016"/>
      <c r="BQ135" s="1016"/>
      <c r="BR135" s="1016"/>
      <c r="BS135" s="158"/>
    </row>
    <row r="136" spans="1:71" s="24" customFormat="1" ht="15">
      <c r="A136" s="583" t="s">
        <v>838</v>
      </c>
      <c r="B136" s="231"/>
      <c r="C136" s="1011"/>
      <c r="D136" s="1011"/>
      <c r="E136" s="1011"/>
      <c r="F136" s="1011"/>
      <c r="G136" s="1011"/>
      <c r="H136" s="130"/>
      <c r="I136" s="130"/>
      <c r="J136" s="130"/>
      <c r="K136" s="130"/>
      <c r="L136" s="1011"/>
      <c r="M136" s="130"/>
      <c r="N136" s="130"/>
      <c r="O136" s="130"/>
      <c r="P136" s="130"/>
      <c r="Q136" s="1011">
        <f t="shared" si="410" ref="Q136">+Q138-Q137</f>
        <v>0.735</v>
      </c>
      <c r="R136" s="130">
        <f t="shared" si="411" ref="R136">+R138-R137</f>
        <v>0.72599999999999998</v>
      </c>
      <c r="S136" s="130">
        <f t="shared" si="412" ref="S136">+S138-S137</f>
        <v>0.73599999999999999</v>
      </c>
      <c r="T136" s="130">
        <f t="shared" si="413" ref="T136">+T138-T137</f>
        <v>0.72699999999999998</v>
      </c>
      <c r="U136" s="130">
        <f>+U68/U58</f>
        <v>0.71910139275766027</v>
      </c>
      <c r="V136" s="1011">
        <f t="shared" si="414" ref="V136">+V138-V137</f>
        <v>0.72699999999999998</v>
      </c>
      <c r="W136" s="130">
        <f t="shared" si="415" ref="W136">+W138-W137</f>
        <v>0.67600000000000005</v>
      </c>
      <c r="X136" s="130">
        <f t="shared" si="416" ref="X136">+X138-X137</f>
        <v>0.68199999999999994</v>
      </c>
      <c r="Y136" s="130">
        <f t="shared" si="417" ref="Y136">+Y138-Y137</f>
        <v>0.66900000000000004</v>
      </c>
      <c r="Z136" s="130">
        <f>+Z68/Z58</f>
        <v>0.68888290398126428</v>
      </c>
      <c r="AA136" s="1011">
        <f t="shared" si="418" ref="AA136">+AA138-AA137</f>
        <v>0.67899999999999994</v>
      </c>
      <c r="AB136" s="130">
        <f t="shared" si="419" ref="AB136">+AB138-AB137</f>
        <v>0.66300000000000003</v>
      </c>
      <c r="AC136" s="130">
        <f t="shared" si="420" ref="AC136">+AC138-AC137</f>
        <v>0.67</v>
      </c>
      <c r="AD136" s="130">
        <f t="shared" si="421" ref="AD136">+AD138-AD137</f>
        <v>0.67400000000000004</v>
      </c>
      <c r="AE136" s="130">
        <f>+AE68/AE58</f>
        <v>0.68835006807351917</v>
      </c>
      <c r="AF136" s="1011">
        <f t="shared" si="422" ref="AF136">+AF138-AF137</f>
        <v>0.67400000000000004</v>
      </c>
      <c r="AG136" s="130">
        <f t="shared" si="423" ref="AG136">+AG138-AG137</f>
        <v>0.66100000000000003</v>
      </c>
      <c r="AH136" s="130">
        <f t="shared" si="424" ref="AH136">+AH138-AH137</f>
        <v>0.67799999999999994</v>
      </c>
      <c r="AI136" s="130">
        <f t="shared" si="425" ref="AI136">+AI138-AI137</f>
        <v>0.69</v>
      </c>
      <c r="AJ136" s="130">
        <f>+AJ68/AJ58</f>
        <v>0.69040859514895003</v>
      </c>
      <c r="AK136" s="1011">
        <f t="shared" si="426" ref="AK136">+AK138-AK137</f>
        <v>0.68</v>
      </c>
      <c r="AL136" s="130">
        <f t="shared" si="427" ref="AL136">+AL138-AL137</f>
        <v>0.61899999999999999</v>
      </c>
      <c r="AM136" s="130">
        <f t="shared" si="428" ref="AM136">+AM138-AM137</f>
        <v>0.46799999999999997</v>
      </c>
      <c r="AN136" s="130">
        <f t="shared" si="429" ref="AN136">+AN138-AN137</f>
        <v>0.59399999999999997</v>
      </c>
      <c r="AO136" s="130">
        <f>+AO68/AO58</f>
        <v>0.59124020973291791</v>
      </c>
      <c r="AP136" s="1011">
        <f t="shared" si="430" ref="AP136">+AP138-AP137</f>
        <v>0.56799999999999995</v>
      </c>
      <c r="AQ136" s="130">
        <f t="shared" si="431" ref="AQ136:AS136">+AQ138-AQ137</f>
        <v>0.57599999999999996</v>
      </c>
      <c r="AR136" s="130">
        <f t="shared" si="431"/>
        <v>0.67100000000000004</v>
      </c>
      <c r="AS136" s="130">
        <f t="shared" si="431"/>
        <v>0.73099999999999998</v>
      </c>
      <c r="AT136" s="130">
        <f>+AT68/AT58</f>
        <v>0.75523336657643492</v>
      </c>
      <c r="AU136" s="1011">
        <f t="shared" si="432" ref="AU136:AZ136">+AU138-AU137</f>
        <v>0.68399999999999994</v>
      </c>
      <c r="AV136" s="130">
        <f t="shared" si="432"/>
        <v>0.751</v>
      </c>
      <c r="AW136" s="130">
        <f t="shared" si="432"/>
        <v>0.80599999999999994</v>
      </c>
      <c r="AX136" s="130">
        <f t="shared" si="432"/>
        <v>0.82599999999999996</v>
      </c>
      <c r="AY136" s="130">
        <f t="shared" si="432"/>
        <v>0.8799882444128666</v>
      </c>
      <c r="AZ136" s="1011">
        <f t="shared" si="432"/>
        <v>0.81699999999999995</v>
      </c>
      <c r="BA136" s="130">
        <f>+BA138-BA137</f>
        <v>0.82899999999999996</v>
      </c>
      <c r="BB136" s="130">
        <f>+BB138-BB137</f>
        <v>0.82699999999999996</v>
      </c>
      <c r="BC136" s="130">
        <f>+BC138-BC137</f>
        <v>0.78299999999999992</v>
      </c>
      <c r="BD136" s="130">
        <f t="shared" si="433" ref="BD136">+BD138-BD137</f>
        <v>0.77066203595610561</v>
      </c>
      <c r="BE136" s="1017">
        <f>+BE138-BE137</f>
        <v>0.80199999999999994</v>
      </c>
      <c r="BF136" s="47">
        <f>+BF138-BF137</f>
        <v>0.751</v>
      </c>
      <c r="BG136" s="130">
        <f>+BG138-BG137</f>
        <v>0.72399999999999998</v>
      </c>
      <c r="BH136" s="748">
        <f>+BH138-BH137</f>
        <v>0.69699999999999995</v>
      </c>
      <c r="BI136" s="905">
        <v>0.69</v>
      </c>
      <c r="BJ136" s="1011">
        <f>+BJ68/BJ58</f>
        <v>0.71471182173139935</v>
      </c>
      <c r="BK136" s="905">
        <v>0.69</v>
      </c>
      <c r="BL136" s="905">
        <v>0.78</v>
      </c>
      <c r="BM136" s="905">
        <v>0.74</v>
      </c>
      <c r="BN136" s="905">
        <v>0.67</v>
      </c>
      <c r="BO136" s="1011">
        <f>+BO68/BO58</f>
        <v>0.71945467360055848</v>
      </c>
      <c r="BP136" s="1012">
        <v>0.70</v>
      </c>
      <c r="BQ136" s="1012">
        <v>0.70</v>
      </c>
      <c r="BR136" s="1012">
        <v>0.70</v>
      </c>
      <c r="BS136" s="47"/>
    </row>
    <row r="137" spans="1:71" s="24" customFormat="1" ht="15">
      <c r="A137" s="583" t="s">
        <v>837</v>
      </c>
      <c r="B137" s="231"/>
      <c r="C137" s="1011"/>
      <c r="D137" s="1011"/>
      <c r="E137" s="1011"/>
      <c r="F137" s="1011"/>
      <c r="G137" s="1011"/>
      <c r="H137" s="130"/>
      <c r="I137" s="130"/>
      <c r="J137" s="130"/>
      <c r="K137" s="130"/>
      <c r="L137" s="1011"/>
      <c r="M137" s="130"/>
      <c r="N137" s="130"/>
      <c r="O137" s="130"/>
      <c r="P137" s="130"/>
      <c r="Q137" s="1012">
        <v>0.012</v>
      </c>
      <c r="R137" s="905">
        <v>0.027</v>
      </c>
      <c r="S137" s="905">
        <v>0.039</v>
      </c>
      <c r="T137" s="905">
        <v>0.031</v>
      </c>
      <c r="U137" s="130">
        <f>+U69/U58</f>
        <v>0.011199814298978652</v>
      </c>
      <c r="V137" s="1012">
        <v>0.027</v>
      </c>
      <c r="W137" s="905">
        <v>0.014</v>
      </c>
      <c r="X137" s="905">
        <v>0.042000000000000003</v>
      </c>
      <c r="Y137" s="905">
        <v>0.069000000000000006</v>
      </c>
      <c r="Z137" s="130">
        <f>+Z69/Z58</f>
        <v>0.0069495586380832275</v>
      </c>
      <c r="AA137" s="1012">
        <v>0.033000000000000002</v>
      </c>
      <c r="AB137" s="905">
        <v>0.001</v>
      </c>
      <c r="AC137" s="905">
        <v>0.031</v>
      </c>
      <c r="AD137" s="905">
        <v>0.021000000000000001</v>
      </c>
      <c r="AE137" s="130">
        <f>+AE69/AE58</f>
        <v>0.01077535738597685</v>
      </c>
      <c r="AF137" s="1012">
        <v>0.016</v>
      </c>
      <c r="AG137" s="905">
        <v>0.012999999999999999</v>
      </c>
      <c r="AH137" s="905">
        <v>0.032000000000000001</v>
      </c>
      <c r="AI137" s="905">
        <v>0.024</v>
      </c>
      <c r="AJ137" s="130">
        <f>+AJ69/AJ58</f>
        <v>-0.00080319062347387687</v>
      </c>
      <c r="AK137" s="1012">
        <v>0.017000000000000001</v>
      </c>
      <c r="AL137" s="905">
        <v>0.002</v>
      </c>
      <c r="AM137" s="905">
        <v>0.021999999999999999</v>
      </c>
      <c r="AN137" s="905">
        <v>0.016</v>
      </c>
      <c r="AO137" s="130">
        <f>+AO69/AO58</f>
        <v>0.0079020154022611828</v>
      </c>
      <c r="AP137" s="1012">
        <v>0.012</v>
      </c>
      <c r="AQ137" s="905">
        <v>0.0040000000000000001</v>
      </c>
      <c r="AR137" s="905">
        <v>0.021999999999999999</v>
      </c>
      <c r="AS137" s="905">
        <v>0.029000000000000001</v>
      </c>
      <c r="AT137" s="130">
        <f>+AT69/AT58</f>
        <v>0.01289086764496367</v>
      </c>
      <c r="AU137" s="1012">
        <v>0.017000000000000001</v>
      </c>
      <c r="AV137" s="905">
        <v>0.0060000000000000001</v>
      </c>
      <c r="AW137" s="905">
        <v>0.015</v>
      </c>
      <c r="AX137" s="905">
        <v>0.043999999999999997</v>
      </c>
      <c r="AY137" s="905">
        <v>0.005</v>
      </c>
      <c r="AZ137" s="1012">
        <v>0.017000000000000001</v>
      </c>
      <c r="BA137" s="905">
        <v>0.012</v>
      </c>
      <c r="BB137" s="905">
        <v>0.042000000000000003</v>
      </c>
      <c r="BC137" s="905">
        <v>0.025999999999999999</v>
      </c>
      <c r="BD137" s="905">
        <v>0.0030000000000000001</v>
      </c>
      <c r="BE137" s="1012">
        <v>0.021000000000000001</v>
      </c>
      <c r="BF137" s="905">
        <v>0.012</v>
      </c>
      <c r="BG137" s="905">
        <v>0.039</v>
      </c>
      <c r="BH137" s="907">
        <v>0.03</v>
      </c>
      <c r="BI137" s="905">
        <v>0.02</v>
      </c>
      <c r="BJ137" s="1011">
        <f>+BJ69/BJ58</f>
        <v>0.025300392356856893</v>
      </c>
      <c r="BK137" s="905">
        <v>0.02</v>
      </c>
      <c r="BL137" s="905">
        <v>0.02</v>
      </c>
      <c r="BM137" s="905">
        <v>0.02</v>
      </c>
      <c r="BN137" s="905">
        <v>0.02</v>
      </c>
      <c r="BO137" s="1011">
        <f>+BO69/BO58</f>
        <v>0.020000000000000004</v>
      </c>
      <c r="BP137" s="1012">
        <v>0.02</v>
      </c>
      <c r="BQ137" s="1012">
        <v>0.02</v>
      </c>
      <c r="BR137" s="1012">
        <v>0.02</v>
      </c>
      <c r="BS137" s="47"/>
    </row>
    <row r="138" spans="1:71" s="24" customFormat="1" ht="15">
      <c r="A138" s="587" t="s">
        <v>839</v>
      </c>
      <c r="B138" s="584"/>
      <c r="C138" s="1018"/>
      <c r="D138" s="1018"/>
      <c r="E138" s="1018"/>
      <c r="F138" s="1018"/>
      <c r="G138" s="1018"/>
      <c r="H138" s="586"/>
      <c r="I138" s="586"/>
      <c r="J138" s="586"/>
      <c r="K138" s="586"/>
      <c r="L138" s="1018"/>
      <c r="M138" s="586"/>
      <c r="N138" s="586"/>
      <c r="O138" s="586"/>
      <c r="P138" s="586"/>
      <c r="Q138" s="1018">
        <f t="shared" si="434" ref="Q138">+Q141-Q140-Q139</f>
        <v>0.747</v>
      </c>
      <c r="R138" s="586">
        <f t="shared" si="435" ref="R138">+R141-R140-R139</f>
        <v>0.753</v>
      </c>
      <c r="S138" s="586">
        <f t="shared" si="436" ref="S138">+S141-S140-S139</f>
        <v>0.775</v>
      </c>
      <c r="T138" s="586">
        <f t="shared" si="437" ref="T138">+T141-T140-T139</f>
        <v>0.75800000000000001</v>
      </c>
      <c r="U138" s="586">
        <f t="shared" si="438" ref="U138">+U70/U58</f>
        <v>0.73030120705663903</v>
      </c>
      <c r="V138" s="1018">
        <f t="shared" si="439" ref="V138">+V141-V140-V139</f>
        <v>0.754</v>
      </c>
      <c r="W138" s="586">
        <f t="shared" si="440" ref="W138">+W141-W140-W139</f>
        <v>0.69</v>
      </c>
      <c r="X138" s="586">
        <f t="shared" si="441" ref="X138">+X141-X140-X139</f>
        <v>0.72399999999999998</v>
      </c>
      <c r="Y138" s="586">
        <f t="shared" si="442" ref="Y138">+Y141-Y140-Y139</f>
        <v>0.73799999999999999</v>
      </c>
      <c r="Z138" s="586">
        <f t="shared" si="443" ref="Z138">+Z70/Z58</f>
        <v>0.6958324626193475</v>
      </c>
      <c r="AA138" s="1018">
        <f t="shared" si="444" ref="AA138">+AA141-AA140-AA139</f>
        <v>0.71199999999999997</v>
      </c>
      <c r="AB138" s="586">
        <f t="shared" si="445" ref="AB138">+AB141-AB140-AB139</f>
        <v>0.66400000000000003</v>
      </c>
      <c r="AC138" s="586">
        <f t="shared" si="446" ref="AC138">+AC141-AC140-AC139</f>
        <v>0.70100000000000007</v>
      </c>
      <c r="AD138" s="586">
        <f t="shared" si="447" ref="AD138">+AD141-AD140-AD139</f>
        <v>0.695</v>
      </c>
      <c r="AE138" s="586">
        <f t="shared" si="448" ref="AE138">+AE70/AE58</f>
        <v>0.69912542545949607</v>
      </c>
      <c r="AF138" s="1018">
        <f t="shared" si="449" ref="AF138">+AF141-AF140-AF139</f>
        <v>0.69</v>
      </c>
      <c r="AG138" s="586">
        <f t="shared" si="450" ref="AG138">+AG141-AG140-AG139</f>
        <v>0.67400000000000004</v>
      </c>
      <c r="AH138" s="586">
        <f t="shared" si="451" ref="AH138">+AH141-AH140-AH139</f>
        <v>0.71</v>
      </c>
      <c r="AI138" s="586">
        <f t="shared" si="452" ref="AI138">+AI141-AI140-AI139</f>
        <v>0.71399999999999997</v>
      </c>
      <c r="AJ138" s="586">
        <f t="shared" si="453" ref="AJ138">+AJ70/AJ58</f>
        <v>0.68960540452547614</v>
      </c>
      <c r="AK138" s="1018">
        <f t="shared" si="454" ref="AK138">+AK141-AK140-AK139</f>
        <v>0.69700000000000006</v>
      </c>
      <c r="AL138" s="586">
        <f t="shared" si="455" ref="AL138">+AL141-AL140-AL139</f>
        <v>0.621</v>
      </c>
      <c r="AM138" s="586">
        <f t="shared" si="456" ref="AM138">+AM141-AM140-AM139</f>
        <v>0.49</v>
      </c>
      <c r="AN138" s="586">
        <f t="shared" si="457" ref="AN138">+AN141-AN140-AN139</f>
        <v>0.61</v>
      </c>
      <c r="AO138" s="586">
        <f t="shared" si="458" ref="AO138">+AO70/AO58</f>
        <v>0.59914222513517912</v>
      </c>
      <c r="AP138" s="1018">
        <f t="shared" si="459" ref="AP138">+AP141-AP140-AP139</f>
        <v>0.57999999999999996</v>
      </c>
      <c r="AQ138" s="586">
        <f t="shared" si="460" ref="AQ138:AS138">+AQ141-AQ140-AQ139</f>
        <v>0.57999999999999996</v>
      </c>
      <c r="AR138" s="586">
        <f t="shared" si="460"/>
        <v>0.69300000000000006</v>
      </c>
      <c r="AS138" s="586">
        <f t="shared" si="460"/>
        <v>0.76</v>
      </c>
      <c r="AT138" s="586">
        <f t="shared" si="461" ref="AT138">+AT70/AT58</f>
        <v>0.76812423422139853</v>
      </c>
      <c r="AU138" s="1018">
        <f t="shared" si="462" ref="AU138:AZ138">+AU141-AU140-AU139</f>
        <v>0.70099999999999996</v>
      </c>
      <c r="AV138" s="586">
        <f t="shared" si="462"/>
        <v>0.75700000000000001</v>
      </c>
      <c r="AW138" s="586">
        <f t="shared" si="462"/>
        <v>0.82099999999999995</v>
      </c>
      <c r="AX138" s="586">
        <f t="shared" si="462"/>
        <v>0.87</v>
      </c>
      <c r="AY138" s="586">
        <f t="shared" si="462"/>
        <v>0.88498824441286661</v>
      </c>
      <c r="AZ138" s="1018">
        <f t="shared" si="462"/>
        <v>0.83399999999999996</v>
      </c>
      <c r="BA138" s="586">
        <f>+BA141-BA140-BA139</f>
        <v>0.84099999999999997</v>
      </c>
      <c r="BB138" s="586">
        <f>+BB141-BB140-BB139</f>
        <v>0.86899999999999999</v>
      </c>
      <c r="BC138" s="586">
        <f>+BC141-BC140-BC139</f>
        <v>0.80899999999999994</v>
      </c>
      <c r="BD138" s="586">
        <f t="shared" si="463" ref="BD138">+BD141-BD140-BD139</f>
        <v>0.77366203595610561</v>
      </c>
      <c r="BE138" s="1019">
        <f>+BE141-BE140-BE139</f>
        <v>0.82299999999999995</v>
      </c>
      <c r="BF138" s="799">
        <f>+BF141-BF140-BF139</f>
        <v>0.76300000000000001</v>
      </c>
      <c r="BG138" s="586">
        <f>+BG141-BG140-BG139</f>
        <v>0.76300000000000001</v>
      </c>
      <c r="BH138" s="801">
        <f>+BH141-BH140-BH139</f>
        <v>0.72699999999999998</v>
      </c>
      <c r="BI138" s="586">
        <f t="shared" si="464" ref="BI138:BR138">+BI70/BI58</f>
        <v>0.71</v>
      </c>
      <c r="BJ138" s="1018">
        <f t="shared" si="464"/>
        <v>0.74001221408825624</v>
      </c>
      <c r="BK138" s="586">
        <f t="shared" si="464"/>
        <v>0.71</v>
      </c>
      <c r="BL138" s="586">
        <f t="shared" si="464"/>
        <v>0.80</v>
      </c>
      <c r="BM138" s="586">
        <f t="shared" si="464"/>
        <v>0.76</v>
      </c>
      <c r="BN138" s="586">
        <f t="shared" si="464"/>
        <v>0.69</v>
      </c>
      <c r="BO138" s="1018">
        <f t="shared" si="464"/>
        <v>0.73945467360055839</v>
      </c>
      <c r="BP138" s="1018">
        <f t="shared" si="464"/>
        <v>0.71999999999999986</v>
      </c>
      <c r="BQ138" s="1018">
        <f t="shared" si="464"/>
        <v>0.72</v>
      </c>
      <c r="BR138" s="1018">
        <f t="shared" si="464"/>
        <v>0.72</v>
      </c>
      <c r="BS138" s="47"/>
    </row>
    <row r="139" spans="1:71" s="24" customFormat="1" ht="15">
      <c r="A139" s="494" t="s">
        <v>840</v>
      </c>
      <c r="B139" s="231"/>
      <c r="C139" s="1011"/>
      <c r="D139" s="1011"/>
      <c r="E139" s="1011"/>
      <c r="F139" s="1011"/>
      <c r="G139" s="1011"/>
      <c r="H139" s="130"/>
      <c r="I139" s="130"/>
      <c r="J139" s="130"/>
      <c r="K139" s="130"/>
      <c r="L139" s="1011"/>
      <c r="M139" s="130"/>
      <c r="N139" s="130"/>
      <c r="O139" s="130"/>
      <c r="P139" s="130"/>
      <c r="Q139" s="1012">
        <v>0.001</v>
      </c>
      <c r="R139" s="905">
        <v>0.001</v>
      </c>
      <c r="S139" s="905">
        <v>-0.0070000000000000001</v>
      </c>
      <c r="T139" s="905">
        <v>-0.002</v>
      </c>
      <c r="U139" s="130">
        <f>+U71/U58</f>
        <v>-0.019725162488393688</v>
      </c>
      <c r="V139" s="1012">
        <v>-0.0070000000000000001</v>
      </c>
      <c r="W139" s="905">
        <v>-0.016</v>
      </c>
      <c r="X139" s="905">
        <v>-0.010999999999999999</v>
      </c>
      <c r="Y139" s="905">
        <v>-0.034000000000000002</v>
      </c>
      <c r="Z139" s="130">
        <f>+Z71/Z58</f>
        <v>-0.026707980544046103</v>
      </c>
      <c r="AA139" s="1012">
        <v>-0.021999999999999999</v>
      </c>
      <c r="AB139" s="905">
        <v>-0.017999999999999999</v>
      </c>
      <c r="AC139" s="905">
        <v>-0.027</v>
      </c>
      <c r="AD139" s="905">
        <v>-0.017000000000000001</v>
      </c>
      <c r="AE139" s="130">
        <f>+AE71/AE58</f>
        <v>-0.018066882232811436</v>
      </c>
      <c r="AF139" s="1012">
        <v>-0.02</v>
      </c>
      <c r="AG139" s="905">
        <v>-0.0089999999999999993</v>
      </c>
      <c r="AH139" s="905">
        <v>-0.017000000000000001</v>
      </c>
      <c r="AI139" s="905">
        <v>-0.025</v>
      </c>
      <c r="AJ139" s="130">
        <f>+AJ71/AJ58</f>
        <v>-0.0049921862282272461</v>
      </c>
      <c r="AK139" s="1012">
        <v>-0.014</v>
      </c>
      <c r="AL139" s="905">
        <v>0.002</v>
      </c>
      <c r="AM139" s="905">
        <v>-0.0089999999999999993</v>
      </c>
      <c r="AN139" s="905">
        <v>-0.0089999999999999993</v>
      </c>
      <c r="AO139" s="130">
        <f>+AO71/AO58</f>
        <v>9.3068982467636187E-05</v>
      </c>
      <c r="AP139" s="1012">
        <v>-0.0040000000000000001</v>
      </c>
      <c r="AQ139" s="905">
        <v>-0.005</v>
      </c>
      <c r="AR139" s="905">
        <v>-0.005</v>
      </c>
      <c r="AS139" s="905">
        <v>0.01</v>
      </c>
      <c r="AT139" s="130">
        <f>+AT71/AT58</f>
        <v>0.019583273970651092</v>
      </c>
      <c r="AU139" s="1012">
        <v>0.005</v>
      </c>
      <c r="AV139" s="905">
        <v>0.02</v>
      </c>
      <c r="AW139" s="905">
        <v>0.033000000000000002</v>
      </c>
      <c r="AX139" s="905">
        <v>0.084000000000000005</v>
      </c>
      <c r="AY139" s="130">
        <f>+AY71/AY58</f>
        <v>0.022053481462343368</v>
      </c>
      <c r="AZ139" s="1012">
        <v>0.04</v>
      </c>
      <c r="BA139" s="905">
        <v>-0.0030000000000000001</v>
      </c>
      <c r="BB139" s="905">
        <v>0.012</v>
      </c>
      <c r="BC139" s="905">
        <v>0.0040000000000000001</v>
      </c>
      <c r="BD139" s="130">
        <f>+BD71/BD58</f>
        <v>0.014414195657249593</v>
      </c>
      <c r="BE139" s="1012">
        <v>0.0070000000000000001</v>
      </c>
      <c r="BF139" s="905">
        <v>-0.0080000000000000002</v>
      </c>
      <c r="BG139" s="905">
        <v>-0.02</v>
      </c>
      <c r="BH139" s="907">
        <v>-0.0070000000000000001</v>
      </c>
      <c r="BI139" s="905">
        <v>-0.01</v>
      </c>
      <c r="BJ139" s="1011">
        <f>+BJ71/BJ58</f>
        <v>-0.011234838070222989</v>
      </c>
      <c r="BK139" s="905">
        <v>-0.01</v>
      </c>
      <c r="BL139" s="905">
        <v>-0.01</v>
      </c>
      <c r="BM139" s="905">
        <v>-0.01</v>
      </c>
      <c r="BN139" s="905">
        <v>-0.01</v>
      </c>
      <c r="BO139" s="1011">
        <f>+BO71/BO58</f>
        <v>-0.010000000000000002</v>
      </c>
      <c r="BP139" s="1012">
        <v>-0.01</v>
      </c>
      <c r="BQ139" s="1012">
        <v>-0.01</v>
      </c>
      <c r="BR139" s="1012">
        <v>-0.01</v>
      </c>
      <c r="BS139" s="47"/>
    </row>
    <row r="140" spans="1:71" s="24" customFormat="1" ht="15">
      <c r="A140" s="494" t="s">
        <v>841</v>
      </c>
      <c r="B140" s="231"/>
      <c r="C140" s="1011"/>
      <c r="D140" s="1011"/>
      <c r="E140" s="1011"/>
      <c r="F140" s="1011"/>
      <c r="G140" s="1011"/>
      <c r="H140" s="130"/>
      <c r="I140" s="130"/>
      <c r="J140" s="130"/>
      <c r="K140" s="130"/>
      <c r="L140" s="1011"/>
      <c r="M140" s="130"/>
      <c r="N140" s="130"/>
      <c r="O140" s="130"/>
      <c r="P140" s="130"/>
      <c r="Q140" s="1012">
        <v>-0.001</v>
      </c>
      <c r="R140" s="905">
        <v>-0.001</v>
      </c>
      <c r="S140" s="905">
        <v>-0.001</v>
      </c>
      <c r="T140" s="905">
        <v>-0.001</v>
      </c>
      <c r="U140" s="130">
        <f>+U72/U58</f>
        <v>0.0029487465181058494</v>
      </c>
      <c r="V140" s="1012">
        <v>0</v>
      </c>
      <c r="W140" s="905">
        <v>-0.001</v>
      </c>
      <c r="X140" s="905">
        <v>-0.001</v>
      </c>
      <c r="Y140" s="905">
        <v>-0.001</v>
      </c>
      <c r="Z140" s="130">
        <f>+Z72/Z58</f>
        <v>-0.0009999999999999998</v>
      </c>
      <c r="AA140" s="1012">
        <v>-0.001</v>
      </c>
      <c r="AB140" s="905">
        <v>-0.005</v>
      </c>
      <c r="AC140" s="905">
        <v>-0.001</v>
      </c>
      <c r="AD140" s="905">
        <v>-0.001</v>
      </c>
      <c r="AE140" s="130">
        <f>+AE72/AE58</f>
        <v>-0.0011031313818924426</v>
      </c>
      <c r="AF140" s="1012">
        <v>-0.002</v>
      </c>
      <c r="AG140" s="905">
        <v>0</v>
      </c>
      <c r="AH140" s="905">
        <v>-0.001</v>
      </c>
      <c r="AI140" s="905">
        <v>0</v>
      </c>
      <c r="AJ140" s="130">
        <f>+AJ72/AJ58</f>
        <v>-0.0029550708123066904</v>
      </c>
      <c r="AK140" s="1012">
        <v>-0.001</v>
      </c>
      <c r="AL140" s="905">
        <v>-0.001</v>
      </c>
      <c r="AM140" s="905">
        <v>-0.001</v>
      </c>
      <c r="AN140" s="905">
        <v>-0.0040000000000000001</v>
      </c>
      <c r="AO140" s="130">
        <f>+AO72/AO58</f>
        <v>0.0020525970834016061</v>
      </c>
      <c r="AP140" s="1012">
        <v>-0.001</v>
      </c>
      <c r="AQ140" s="905">
        <v>-0.0030000000000000001</v>
      </c>
      <c r="AR140" s="905">
        <v>-0.001</v>
      </c>
      <c r="AS140" s="905">
        <v>-0.001</v>
      </c>
      <c r="AT140" s="130">
        <f>+AT72/AT58</f>
        <v>0.00094016241629861811</v>
      </c>
      <c r="AU140" s="1012">
        <v>-0.001</v>
      </c>
      <c r="AV140" s="905">
        <v>-0.001</v>
      </c>
      <c r="AW140" s="905">
        <v>-0.005</v>
      </c>
      <c r="AX140" s="905">
        <v>-0.001</v>
      </c>
      <c r="AY140" s="130">
        <f>+AY72/AY58</f>
        <v>-0.0010417258752099202</v>
      </c>
      <c r="AZ140" s="1012">
        <v>-0.002</v>
      </c>
      <c r="BA140" s="905">
        <v>-0.0040000000000000001</v>
      </c>
      <c r="BB140" s="905">
        <v>-0.002</v>
      </c>
      <c r="BC140" s="905">
        <v>0.001</v>
      </c>
      <c r="BD140" s="130">
        <f>+BD72/BD58</f>
        <v>-0.0030762316133551241</v>
      </c>
      <c r="BE140" s="1012">
        <v>-0.002</v>
      </c>
      <c r="BF140" s="905">
        <v>-0.001</v>
      </c>
      <c r="BG140" s="905">
        <v>-0.001</v>
      </c>
      <c r="BH140" s="907">
        <v>-0.001</v>
      </c>
      <c r="BI140" s="905">
        <v>-0.001</v>
      </c>
      <c r="BJ140" s="1011">
        <f>+BJ72/BJ58</f>
        <v>-0.001</v>
      </c>
      <c r="BK140" s="905">
        <v>-0.001</v>
      </c>
      <c r="BL140" s="905">
        <v>-0.001</v>
      </c>
      <c r="BM140" s="905">
        <v>-0.001</v>
      </c>
      <c r="BN140" s="905">
        <v>-0.001</v>
      </c>
      <c r="BO140" s="1011">
        <f>+BO72/BO58</f>
        <v>-0.001</v>
      </c>
      <c r="BP140" s="1012">
        <v>-0.001</v>
      </c>
      <c r="BQ140" s="1012">
        <v>-0.001</v>
      </c>
      <c r="BR140" s="1012">
        <v>-0.001</v>
      </c>
      <c r="BS140" s="47"/>
    </row>
    <row r="141" spans="1:71" s="24" customFormat="1" ht="15">
      <c r="A141" s="584" t="s">
        <v>764</v>
      </c>
      <c r="B141" s="584"/>
      <c r="C141" s="1018"/>
      <c r="D141" s="1018"/>
      <c r="E141" s="1018"/>
      <c r="F141" s="1018"/>
      <c r="G141" s="1018"/>
      <c r="H141" s="586"/>
      <c r="I141" s="586"/>
      <c r="J141" s="586"/>
      <c r="K141" s="586">
        <f>K73/K58</f>
        <v>0</v>
      </c>
      <c r="L141" s="1018"/>
      <c r="M141" s="586"/>
      <c r="N141" s="586"/>
      <c r="O141" s="586"/>
      <c r="P141" s="586"/>
      <c r="Q141" s="1020">
        <v>0.747</v>
      </c>
      <c r="R141" s="909">
        <v>0.753</v>
      </c>
      <c r="S141" s="909">
        <v>0.76700000000000002</v>
      </c>
      <c r="T141" s="909">
        <v>0.755</v>
      </c>
      <c r="U141" s="586">
        <f>+U73/U58</f>
        <v>0.71352479108635114</v>
      </c>
      <c r="V141" s="1020">
        <v>0.747</v>
      </c>
      <c r="W141" s="909">
        <v>0.67300000000000004</v>
      </c>
      <c r="X141" s="909">
        <v>0.71199999999999997</v>
      </c>
      <c r="Y141" s="909">
        <v>0.70299999999999996</v>
      </c>
      <c r="Z141" s="586">
        <f>+Z73/Z58</f>
        <v>0.6681244820753014</v>
      </c>
      <c r="AA141" s="1020">
        <v>0.68899999999999995</v>
      </c>
      <c r="AB141" s="909">
        <v>0.64100000000000001</v>
      </c>
      <c r="AC141" s="909">
        <v>0.67300000000000004</v>
      </c>
      <c r="AD141" s="909">
        <v>0.67700000000000005</v>
      </c>
      <c r="AE141" s="586">
        <f>+AE73/AE58</f>
        <v>0.67995541184479213</v>
      </c>
      <c r="AF141" s="1020">
        <v>0.66800000000000004</v>
      </c>
      <c r="AG141" s="909">
        <v>0.665</v>
      </c>
      <c r="AH141" s="909">
        <v>0.69199999999999995</v>
      </c>
      <c r="AI141" s="909">
        <v>0.68899999999999995</v>
      </c>
      <c r="AJ141" s="586">
        <f>+AJ73/AJ58</f>
        <v>0.68165814748494213</v>
      </c>
      <c r="AK141" s="1020">
        <v>0.68200000000000005</v>
      </c>
      <c r="AL141" s="909">
        <v>0.622</v>
      </c>
      <c r="AM141" s="909">
        <v>0.48</v>
      </c>
      <c r="AN141" s="909">
        <v>0.59699999999999998</v>
      </c>
      <c r="AO141" s="586">
        <f>+AO73/AO58</f>
        <v>0.60128789120104831</v>
      </c>
      <c r="AP141" s="1020">
        <v>0.57499999999999996</v>
      </c>
      <c r="AQ141" s="909">
        <v>0.57199999999999995</v>
      </c>
      <c r="AR141" s="909">
        <v>0.68700000000000006</v>
      </c>
      <c r="AS141" s="909">
        <v>0.76900000000000002</v>
      </c>
      <c r="AT141" s="586">
        <f>+AT73/AT58</f>
        <v>0.78864767060834828</v>
      </c>
      <c r="AU141" s="1020">
        <v>0.705</v>
      </c>
      <c r="AV141" s="909">
        <v>0.77600000000000002</v>
      </c>
      <c r="AW141" s="909">
        <v>0.84899999999999998</v>
      </c>
      <c r="AX141" s="909">
        <v>0.95299999999999996</v>
      </c>
      <c r="AY141" s="909">
        <v>0.90600000000000003</v>
      </c>
      <c r="AZ141" s="1020">
        <v>0.872</v>
      </c>
      <c r="BA141" s="909">
        <v>0.83399999999999996</v>
      </c>
      <c r="BB141" s="909">
        <v>0.879</v>
      </c>
      <c r="BC141" s="909">
        <v>0.81399999999999995</v>
      </c>
      <c r="BD141" s="909">
        <v>0.785</v>
      </c>
      <c r="BE141" s="1020">
        <v>0.82799999999999996</v>
      </c>
      <c r="BF141" s="909">
        <v>0.754</v>
      </c>
      <c r="BG141" s="909">
        <v>0.74199999999999999</v>
      </c>
      <c r="BH141" s="910">
        <v>0.71899999999999997</v>
      </c>
      <c r="BI141" s="586">
        <f t="shared" si="465" ref="BI141:BR141">+BI73/BI58</f>
        <v>0.69900000000000007</v>
      </c>
      <c r="BJ141" s="1018">
        <f t="shared" si="465"/>
        <v>0.72777737601803316</v>
      </c>
      <c r="BK141" s="586">
        <f t="shared" si="465"/>
        <v>0.69899999999999995</v>
      </c>
      <c r="BL141" s="586">
        <f t="shared" si="465"/>
        <v>0.78900000000000003</v>
      </c>
      <c r="BM141" s="586">
        <f t="shared" si="465"/>
        <v>0.749</v>
      </c>
      <c r="BN141" s="586">
        <f t="shared" si="465"/>
        <v>0.67900000000000005</v>
      </c>
      <c r="BO141" s="1018">
        <f t="shared" si="465"/>
        <v>0.72845467360055838</v>
      </c>
      <c r="BP141" s="1018">
        <f t="shared" si="465"/>
        <v>0.70899999999999996</v>
      </c>
      <c r="BQ141" s="1018">
        <f t="shared" si="465"/>
        <v>0.70899999999999996</v>
      </c>
      <c r="BR141" s="1018">
        <f t="shared" si="465"/>
        <v>0.70899999999999996</v>
      </c>
      <c r="BS141" s="47"/>
    </row>
    <row r="142" spans="1:71" s="24" customFormat="1" ht="15">
      <c r="A142" s="583" t="s">
        <v>842</v>
      </c>
      <c r="B142" s="231"/>
      <c r="C142" s="1011"/>
      <c r="D142" s="1011"/>
      <c r="E142" s="1011"/>
      <c r="F142" s="1011"/>
      <c r="G142" s="1011"/>
      <c r="H142" s="130"/>
      <c r="I142" s="130"/>
      <c r="J142" s="130"/>
      <c r="K142" s="130"/>
      <c r="L142" s="1011"/>
      <c r="M142" s="130"/>
      <c r="N142" s="130"/>
      <c r="O142" s="130"/>
      <c r="P142" s="130"/>
      <c r="Q142" s="1011">
        <f t="shared" si="466" ref="Q142">+Q144-Q143</f>
        <v>0.38299999999999995</v>
      </c>
      <c r="R142" s="130">
        <f t="shared" si="467" ref="R142">+R144-R143</f>
        <v>0.37399999999999994</v>
      </c>
      <c r="S142" s="130">
        <f t="shared" si="468" ref="S142">+S144-S143</f>
        <v>0.355</v>
      </c>
      <c r="T142" s="130">
        <f t="shared" si="469" ref="T142">+T144-T143</f>
        <v>0.38100000000000001</v>
      </c>
      <c r="U142" s="130">
        <f>+U74/U59</f>
        <v>0.37002308960967573</v>
      </c>
      <c r="V142" s="1011">
        <f t="shared" si="470" ref="V142">+V144-V143</f>
        <v>0.37</v>
      </c>
      <c r="W142" s="130">
        <f t="shared" si="471" ref="W142">+W144-W143</f>
        <v>0.38300000000000001</v>
      </c>
      <c r="X142" s="130">
        <f t="shared" si="472" ref="X142">+X144-X143</f>
        <v>0.38600000000000001</v>
      </c>
      <c r="Y142" s="130">
        <f t="shared" si="473" ref="Y142">+Y144-Y143</f>
        <v>0.38400000000000001</v>
      </c>
      <c r="Z142" s="130">
        <f>+Z74/Z59</f>
        <v>0.36323971861471877</v>
      </c>
      <c r="AA142" s="1011">
        <f t="shared" si="474" ref="AA142">+AA144-AA143</f>
        <v>0.37900000000000006</v>
      </c>
      <c r="AB142" s="130">
        <f t="shared" si="475" ref="AB142">+AB144-AB143</f>
        <v>0.36599999999999994</v>
      </c>
      <c r="AC142" s="130">
        <f t="shared" si="476" ref="AC142">+AC144-AC143</f>
        <v>0.35799999999999998</v>
      </c>
      <c r="AD142" s="130">
        <f t="shared" si="477" ref="AD142">+AD144-AD143</f>
        <v>0.41100000000000003</v>
      </c>
      <c r="AE142" s="130">
        <f>+AE74/AE59</f>
        <v>0.40002455590386621</v>
      </c>
      <c r="AF142" s="1011">
        <f t="shared" si="478" ref="AF142">+AF144-AF143</f>
        <v>0.38399999999999995</v>
      </c>
      <c r="AG142" s="130">
        <f t="shared" si="479" ref="AG142">+AG144-AG143</f>
        <v>0.36199999999999988</v>
      </c>
      <c r="AH142" s="130">
        <f t="shared" si="480" ref="AH142">+AH144-AH143</f>
        <v>0.39399999999999996</v>
      </c>
      <c r="AI142" s="130">
        <f t="shared" si="481" ref="AI142">+AI144-AI143</f>
        <v>0.42099999999999993</v>
      </c>
      <c r="AJ142" s="130">
        <f>+AJ74/AJ59</f>
        <v>0.37056627101879341</v>
      </c>
      <c r="AK142" s="1011">
        <f t="shared" si="482" ref="AK142">+AK144-AK143</f>
        <v>0.38700000000000001</v>
      </c>
      <c r="AL142" s="130">
        <f t="shared" si="483" ref="AL142">+AL144-AL143</f>
        <v>0.40600000000000003</v>
      </c>
      <c r="AM142" s="130">
        <f t="shared" si="484" ref="AM142">+AM144-AM143</f>
        <v>0.35999999999999993</v>
      </c>
      <c r="AN142" s="130">
        <f t="shared" si="485" ref="AN142">+AN144-AN143</f>
        <v>0.84600000000000009</v>
      </c>
      <c r="AO142" s="130">
        <f>+AO74/AO59</f>
        <v>0.37812057416267986</v>
      </c>
      <c r="AP142" s="1011">
        <f t="shared" si="486" ref="AP142">+AP144-AP143</f>
        <v>0.49800000000000011</v>
      </c>
      <c r="AQ142" s="130">
        <f t="shared" si="487" ref="AQ142">+AQ144-AQ143</f>
        <v>0.61399999999999999</v>
      </c>
      <c r="AR142" s="130">
        <f t="shared" si="488" ref="AR142">+AR144-AR143</f>
        <v>0.433</v>
      </c>
      <c r="AS142" s="130">
        <f t="shared" si="489" ref="AS142">+AS144-AS143</f>
        <v>0.47099999999999997</v>
      </c>
      <c r="AT142" s="130">
        <f>+AT74/AT59</f>
        <v>0.4510545734050731</v>
      </c>
      <c r="AU142" s="1011">
        <f t="shared" si="490" ref="AU142:AZ142">+AU144-AU143</f>
        <v>0.49099999999999999</v>
      </c>
      <c r="AV142" s="130">
        <f t="shared" si="490"/>
        <v>0.47099999999999997</v>
      </c>
      <c r="AW142" s="130">
        <f t="shared" si="490"/>
        <v>0.40399999999999991</v>
      </c>
      <c r="AX142" s="130">
        <f t="shared" si="490"/>
        <v>0.51900000000000002</v>
      </c>
      <c r="AY142" s="130">
        <f t="shared" si="490"/>
        <v>0.47659338235294113</v>
      </c>
      <c r="AZ142" s="1011">
        <f t="shared" si="490"/>
        <v>0.46899999999999997</v>
      </c>
      <c r="BA142" s="130">
        <f>+BA144-BA143</f>
        <v>0.47799999999999998</v>
      </c>
      <c r="BB142" s="130">
        <f>+BB144-BB143</f>
        <v>0.44099999999999995</v>
      </c>
      <c r="BC142" s="130">
        <f>+BC144-BC143</f>
        <v>0.50099999999999989</v>
      </c>
      <c r="BD142" s="130">
        <f t="shared" si="491" ref="BD142">+BD144-BD143</f>
        <v>0.40971498212544688</v>
      </c>
      <c r="BE142" s="1017">
        <f>+BE144-BE143</f>
        <v>0.45699999999999996</v>
      </c>
      <c r="BF142" s="47">
        <f>+BF144-BF143</f>
        <v>0.53400000000000003</v>
      </c>
      <c r="BG142" s="130">
        <f>+BG144-BG143</f>
        <v>0.504</v>
      </c>
      <c r="BH142" s="748">
        <f>+BH144-BH143</f>
        <v>0.405</v>
      </c>
      <c r="BI142" s="905">
        <v>0.50</v>
      </c>
      <c r="BJ142" s="1011">
        <f>+BJ74/BJ59</f>
        <v>0.4840624868514673</v>
      </c>
      <c r="BK142" s="905">
        <v>0.50</v>
      </c>
      <c r="BL142" s="905">
        <v>0.50</v>
      </c>
      <c r="BM142" s="905">
        <v>0.50</v>
      </c>
      <c r="BN142" s="905">
        <v>0.50</v>
      </c>
      <c r="BO142" s="1011">
        <f>+BO74/BO59</f>
        <v>0.50</v>
      </c>
      <c r="BP142" s="1012">
        <v>0.50</v>
      </c>
      <c r="BQ142" s="1012">
        <v>0.50</v>
      </c>
      <c r="BR142" s="1012">
        <v>0.50</v>
      </c>
      <c r="BS142" s="47"/>
    </row>
    <row r="143" spans="1:71" s="24" customFormat="1" ht="15">
      <c r="A143" s="583" t="s">
        <v>843</v>
      </c>
      <c r="B143" s="231"/>
      <c r="C143" s="1011"/>
      <c r="D143" s="1011"/>
      <c r="E143" s="1011"/>
      <c r="F143" s="1011"/>
      <c r="G143" s="1011"/>
      <c r="H143" s="130"/>
      <c r="I143" s="130"/>
      <c r="J143" s="130"/>
      <c r="K143" s="130"/>
      <c r="L143" s="1011"/>
      <c r="M143" s="130"/>
      <c r="N143" s="130"/>
      <c r="O143" s="130"/>
      <c r="P143" s="130"/>
      <c r="Q143" s="1012">
        <v>0.184</v>
      </c>
      <c r="R143" s="905">
        <v>0.33900000000000002</v>
      </c>
      <c r="S143" s="905">
        <v>0.374</v>
      </c>
      <c r="T143" s="905">
        <v>0.157</v>
      </c>
      <c r="U143" s="130">
        <f>+U75/U59</f>
        <v>0.10646893897745997</v>
      </c>
      <c r="V143" s="1012">
        <v>0.24399999999999999</v>
      </c>
      <c r="W143" s="905">
        <v>0.35199999999999998</v>
      </c>
      <c r="X143" s="905">
        <v>0.38600000000000001</v>
      </c>
      <c r="Y143" s="905">
        <v>0.216</v>
      </c>
      <c r="Z143" s="130">
        <f>+Z75/Z59</f>
        <v>0.29520454545454533</v>
      </c>
      <c r="AA143" s="1012">
        <v>0.312</v>
      </c>
      <c r="AB143" s="905">
        <v>0.17699999999999999</v>
      </c>
      <c r="AC143" s="905">
        <v>0.36199999999999999</v>
      </c>
      <c r="AD143" s="905">
        <v>0.235</v>
      </c>
      <c r="AE143" s="130">
        <f>+AE75/AE59</f>
        <v>0.42259717868338553</v>
      </c>
      <c r="AF143" s="1012">
        <v>0.30</v>
      </c>
      <c r="AG143" s="905">
        <v>0.27900000000000003</v>
      </c>
      <c r="AH143" s="905">
        <v>0.41799999999999998</v>
      </c>
      <c r="AI143" s="905">
        <v>0.17</v>
      </c>
      <c r="AJ143" s="130">
        <f>+AJ75/AJ59</f>
        <v>0.13075024727992085</v>
      </c>
      <c r="AK143" s="1012">
        <v>0.248</v>
      </c>
      <c r="AL143" s="905">
        <v>0.09</v>
      </c>
      <c r="AM143" s="905">
        <v>0.46400000000000002</v>
      </c>
      <c r="AN143" s="905">
        <v>0.39100000000000001</v>
      </c>
      <c r="AO143" s="130">
        <f>+AO75/AO59</f>
        <v>0.17030478468899515</v>
      </c>
      <c r="AP143" s="1012">
        <v>0.27900000000000003</v>
      </c>
      <c r="AQ143" s="905">
        <v>0.20699999999999999</v>
      </c>
      <c r="AR143" s="905">
        <v>0.30299999999999999</v>
      </c>
      <c r="AS143" s="905">
        <v>0.38</v>
      </c>
      <c r="AT143" s="130">
        <f>+AT75/AT59</f>
        <v>0.16401383551114532</v>
      </c>
      <c r="AU143" s="1012">
        <v>0.26300000000000001</v>
      </c>
      <c r="AV143" s="905">
        <v>0.154</v>
      </c>
      <c r="AW143" s="905">
        <v>0.35599999999999998</v>
      </c>
      <c r="AX143" s="905">
        <v>0.13400000000000001</v>
      </c>
      <c r="AY143" s="905">
        <v>0.222</v>
      </c>
      <c r="AZ143" s="1012">
        <v>0.216</v>
      </c>
      <c r="BA143" s="905">
        <v>0.51600000000000001</v>
      </c>
      <c r="BB143" s="905">
        <v>0.75900000000000001</v>
      </c>
      <c r="BC143" s="905">
        <v>0.29599999999999999</v>
      </c>
      <c r="BD143" s="911">
        <v>0.0070000000000000001</v>
      </c>
      <c r="BE143" s="1012">
        <v>0.38600000000000001</v>
      </c>
      <c r="BF143" s="905">
        <v>0.17599999999999999</v>
      </c>
      <c r="BG143" s="905">
        <v>0.496</v>
      </c>
      <c r="BH143" s="907">
        <v>0.36199999999999999</v>
      </c>
      <c r="BI143" s="905">
        <v>0.20</v>
      </c>
      <c r="BJ143" s="1011">
        <f>+BJ75/BJ59</f>
        <v>0.31296512836421891</v>
      </c>
      <c r="BK143" s="905">
        <v>0.20</v>
      </c>
      <c r="BL143" s="905">
        <v>0.20</v>
      </c>
      <c r="BM143" s="905">
        <v>0.20</v>
      </c>
      <c r="BN143" s="905">
        <v>0.20</v>
      </c>
      <c r="BO143" s="1011">
        <f>+BO75/BO59</f>
        <v>0.19999999999999996</v>
      </c>
      <c r="BP143" s="1012">
        <v>0.20</v>
      </c>
      <c r="BQ143" s="1012">
        <v>0.20</v>
      </c>
      <c r="BR143" s="1012">
        <v>0.20</v>
      </c>
      <c r="BS143" s="47"/>
    </row>
    <row r="144" spans="1:71" s="24" customFormat="1" ht="15">
      <c r="A144" s="587" t="s">
        <v>844</v>
      </c>
      <c r="B144" s="584"/>
      <c r="C144" s="1018"/>
      <c r="D144" s="1018"/>
      <c r="E144" s="1018"/>
      <c r="F144" s="1018"/>
      <c r="G144" s="1018"/>
      <c r="H144" s="586"/>
      <c r="I144" s="586"/>
      <c r="J144" s="586"/>
      <c r="K144" s="586"/>
      <c r="L144" s="1018"/>
      <c r="M144" s="586"/>
      <c r="N144" s="586"/>
      <c r="O144" s="586"/>
      <c r="P144" s="586"/>
      <c r="Q144" s="1018">
        <f t="shared" si="492" ref="Q144">+Q147-Q146-Q145</f>
        <v>0.56699999999999995</v>
      </c>
      <c r="R144" s="586">
        <f t="shared" si="493" ref="R144">+R147-R146-R145</f>
        <v>0.71299999999999997</v>
      </c>
      <c r="S144" s="586">
        <f t="shared" si="494" ref="S144">+S147-S146-S145</f>
        <v>0.72899999999999998</v>
      </c>
      <c r="T144" s="586">
        <f t="shared" si="495" ref="T144">+T147-T146-T145</f>
        <v>0.53800000000000003</v>
      </c>
      <c r="U144" s="586">
        <f t="shared" si="496" ref="U144">+U76/U59</f>
        <v>0.47649202858713569</v>
      </c>
      <c r="V144" s="1018">
        <f t="shared" si="497" ref="V144">+V147-V146-V145</f>
        <v>0.61399999999999999</v>
      </c>
      <c r="W144" s="586">
        <f t="shared" si="498" ref="W144">+W147-W146-W145</f>
        <v>0.735</v>
      </c>
      <c r="X144" s="586">
        <f t="shared" si="499" ref="X144">+X147-X146-X145</f>
        <v>0.77200000000000002</v>
      </c>
      <c r="Y144" s="586">
        <f t="shared" si="500" ref="Y144">+Y147-Y146-Y145</f>
        <v>0.60</v>
      </c>
      <c r="Z144" s="586">
        <f t="shared" si="501" ref="Z144">+Z76/Z59</f>
        <v>0.65844426406926415</v>
      </c>
      <c r="AA144" s="1018">
        <f t="shared" si="502" ref="AA144">+AA147-AA146-AA145</f>
        <v>0.69100000000000006</v>
      </c>
      <c r="AB144" s="586">
        <f t="shared" si="503" ref="AB144">+AB147-AB146-AB145</f>
        <v>0.54299999999999993</v>
      </c>
      <c r="AC144" s="586">
        <f t="shared" si="504" ref="AC144">+AC147-AC146-AC145</f>
        <v>0.72</v>
      </c>
      <c r="AD144" s="586">
        <f t="shared" si="505" ref="AD144">+AD147-AD146-AD145</f>
        <v>0.64600000000000002</v>
      </c>
      <c r="AE144" s="586">
        <f t="shared" si="506" ref="AE144">+AE76/AE59</f>
        <v>0.82262173458725174</v>
      </c>
      <c r="AF144" s="1018">
        <f t="shared" si="507" ref="AF144">+AF147-AF146-AF145</f>
        <v>0.68399999999999994</v>
      </c>
      <c r="AG144" s="586">
        <f t="shared" si="508" ref="AG144">+AG147-AG146-AG145</f>
        <v>0.6409999999999999</v>
      </c>
      <c r="AH144" s="586">
        <f t="shared" si="509" ref="AH144">+AH147-AH146-AH145</f>
        <v>0.81199999999999994</v>
      </c>
      <c r="AI144" s="586">
        <f t="shared" si="510" ref="AI144">+AI147-AI146-AI145</f>
        <v>0.59099999999999997</v>
      </c>
      <c r="AJ144" s="586">
        <f t="shared" si="511" ref="AJ144">+AJ76/AJ59</f>
        <v>0.50131651829871426</v>
      </c>
      <c r="AK144" s="1018">
        <f t="shared" si="512" ref="AK144">+AK147-AK146-AK145</f>
        <v>0.635</v>
      </c>
      <c r="AL144" s="586">
        <f t="shared" si="513" ref="AL144">+AL147-AL146-AL145</f>
        <v>0.496</v>
      </c>
      <c r="AM144" s="586">
        <f t="shared" si="514" ref="AM144">+AM147-AM146-AM145</f>
        <v>0.82399999999999995</v>
      </c>
      <c r="AN144" s="586">
        <f t="shared" si="515" ref="AN144">+AN147-AN146-AN145</f>
        <v>1.2370000000000001</v>
      </c>
      <c r="AO144" s="586">
        <f t="shared" si="516" ref="AO144">+AO76/AO59</f>
        <v>0.54842535885167498</v>
      </c>
      <c r="AP144" s="1018">
        <f t="shared" si="517" ref="AP144">+AP147-AP146-AP145</f>
        <v>0.77700000000000014</v>
      </c>
      <c r="AQ144" s="586">
        <f t="shared" si="518" ref="AQ144">+AQ147-AQ146-AQ145</f>
        <v>0.82099999999999995</v>
      </c>
      <c r="AR144" s="586">
        <f t="shared" si="519" ref="AR144">+AR147-AR146-AR145</f>
        <v>0.73599999999999999</v>
      </c>
      <c r="AS144" s="586">
        <f t="shared" si="520" ref="AS144">+AS147-AS146-AS145</f>
        <v>0.85099999999999998</v>
      </c>
      <c r="AT144" s="586">
        <f t="shared" si="521" ref="AT144">+AT76/AT59</f>
        <v>0.61506840891621839</v>
      </c>
      <c r="AU144" s="1018">
        <f t="shared" si="522" ref="AU144:AZ144">+AU147-AU146-AU145</f>
        <v>0.754</v>
      </c>
      <c r="AV144" s="586">
        <f t="shared" si="522"/>
        <v>0.625</v>
      </c>
      <c r="AW144" s="586">
        <f t="shared" si="522"/>
        <v>0.7599999999999999</v>
      </c>
      <c r="AX144" s="586">
        <f t="shared" si="522"/>
        <v>0.65300000000000002</v>
      </c>
      <c r="AY144" s="586">
        <f t="shared" si="522"/>
        <v>0.69859338235294111</v>
      </c>
      <c r="AZ144" s="1018">
        <f t="shared" si="522"/>
        <v>0.685</v>
      </c>
      <c r="BA144" s="586">
        <f>+BA147-BA146-BA145</f>
        <v>0.99399999999999999</v>
      </c>
      <c r="BB144" s="586">
        <f>+BB147-BB146-BB145</f>
        <v>1.20</v>
      </c>
      <c r="BC144" s="586">
        <f>+BC147-BC146-BC145</f>
        <v>0.79699999999999993</v>
      </c>
      <c r="BD144" s="130">
        <f t="shared" si="523" ref="BD144">+BD147-BD146-BD145</f>
        <v>0.41671498212544689</v>
      </c>
      <c r="BE144" s="1019">
        <f>+BE147-BE146-BE145</f>
        <v>0.84299999999999997</v>
      </c>
      <c r="BF144" s="799">
        <f>+BF147-BF146-BF145</f>
        <v>0.71</v>
      </c>
      <c r="BG144" s="586">
        <f>+BG147-BG146-BG145</f>
        <v>1</v>
      </c>
      <c r="BH144" s="801">
        <f>+BH147-BH146-BH145</f>
        <v>0.76700000000000002</v>
      </c>
      <c r="BI144" s="586">
        <f t="shared" si="524" ref="BI144:BR144">+BI76/BI59</f>
        <v>0.70</v>
      </c>
      <c r="BJ144" s="1018">
        <f t="shared" si="524"/>
        <v>0.79702761521568621</v>
      </c>
      <c r="BK144" s="586">
        <f t="shared" si="524"/>
        <v>0.70</v>
      </c>
      <c r="BL144" s="586">
        <f t="shared" si="524"/>
        <v>0.70</v>
      </c>
      <c r="BM144" s="586">
        <f t="shared" si="524"/>
        <v>0.70</v>
      </c>
      <c r="BN144" s="586">
        <f t="shared" si="524"/>
        <v>0.70</v>
      </c>
      <c r="BO144" s="1018">
        <f t="shared" si="524"/>
        <v>0.70</v>
      </c>
      <c r="BP144" s="1018">
        <f t="shared" si="524"/>
        <v>0.70</v>
      </c>
      <c r="BQ144" s="1018">
        <f t="shared" si="524"/>
        <v>0.70</v>
      </c>
      <c r="BR144" s="1018">
        <f t="shared" si="524"/>
        <v>0.70</v>
      </c>
      <c r="BS144" s="47"/>
    </row>
    <row r="145" spans="1:71" s="24" customFormat="1" ht="15">
      <c r="A145" s="494" t="s">
        <v>845</v>
      </c>
      <c r="B145" s="231"/>
      <c r="C145" s="1011"/>
      <c r="D145" s="1011"/>
      <c r="E145" s="1011"/>
      <c r="F145" s="1011"/>
      <c r="G145" s="1011"/>
      <c r="H145" s="130"/>
      <c r="I145" s="130"/>
      <c r="J145" s="130"/>
      <c r="K145" s="130"/>
      <c r="L145" s="1011"/>
      <c r="M145" s="130"/>
      <c r="N145" s="130"/>
      <c r="O145" s="130"/>
      <c r="P145" s="130"/>
      <c r="Q145" s="1012">
        <v>-0.0040000000000000001</v>
      </c>
      <c r="R145" s="905">
        <v>-0.0040000000000000001</v>
      </c>
      <c r="S145" s="905">
        <v>0.01</v>
      </c>
      <c r="T145" s="905">
        <v>-0.002</v>
      </c>
      <c r="U145" s="130">
        <f>+U77/U59</f>
        <v>-0.015973062122045082</v>
      </c>
      <c r="V145" s="1012">
        <v>-0.0030000000000000001</v>
      </c>
      <c r="W145" s="905">
        <v>-0.012999999999999999</v>
      </c>
      <c r="X145" s="905">
        <v>-0.010999999999999999</v>
      </c>
      <c r="Y145" s="905">
        <v>-0.023</v>
      </c>
      <c r="Z145" s="130">
        <f>+Z77/Z59</f>
        <v>-0.024829004329004322</v>
      </c>
      <c r="AA145" s="1012">
        <v>-0.017999999999999999</v>
      </c>
      <c r="AB145" s="905">
        <v>0.017000000000000001</v>
      </c>
      <c r="AC145" s="905">
        <v>0.014</v>
      </c>
      <c r="AD145" s="905">
        <v>-0.0070000000000000001</v>
      </c>
      <c r="AE145" s="130">
        <f>+AE77/AE59</f>
        <v>-0.015277429467084639</v>
      </c>
      <c r="AF145" s="1012">
        <v>0.002</v>
      </c>
      <c r="AG145" s="905">
        <v>0.028000000000000001</v>
      </c>
      <c r="AH145" s="905">
        <v>0.002</v>
      </c>
      <c r="AI145" s="905">
        <v>0.001</v>
      </c>
      <c r="AJ145" s="130">
        <f>+AJ77/AJ59</f>
        <v>0.0015840751730959461</v>
      </c>
      <c r="AK145" s="1012">
        <v>0.0080000000000000002</v>
      </c>
      <c r="AL145" s="905">
        <v>-0.0030000000000000001</v>
      </c>
      <c r="AM145" s="905">
        <v>0.010999999999999999</v>
      </c>
      <c r="AN145" s="905">
        <v>-0.22</v>
      </c>
      <c r="AO145" s="130">
        <f>+AO77/AO59</f>
        <v>0.0010119617224880427</v>
      </c>
      <c r="AP145" s="1012">
        <v>-0.052999999999999999</v>
      </c>
      <c r="AQ145" s="905">
        <v>-0.085</v>
      </c>
      <c r="AR145" s="905">
        <v>0.012</v>
      </c>
      <c r="AS145" s="905">
        <v>0.0070000000000000001</v>
      </c>
      <c r="AT145" s="130">
        <f>+AT77/AT59</f>
        <v>0.0030088393543428269</v>
      </c>
      <c r="AU145" s="1012">
        <v>-0.015</v>
      </c>
      <c r="AV145" s="905">
        <v>-0.0030000000000000001</v>
      </c>
      <c r="AW145" s="905">
        <v>0.051999999999999998</v>
      </c>
      <c r="AX145" s="905">
        <v>0.02</v>
      </c>
      <c r="AY145" s="130">
        <f>+AY77/AY59</f>
        <v>0.0070367647058823587</v>
      </c>
      <c r="AZ145" s="1012">
        <v>0.019</v>
      </c>
      <c r="BA145" s="905">
        <v>-0.0070000000000000001</v>
      </c>
      <c r="BB145" s="905">
        <v>0.032000000000000001</v>
      </c>
      <c r="BC145" s="905">
        <v>0.021000000000000001</v>
      </c>
      <c r="BD145" s="130">
        <f>+BD77/BD59</f>
        <v>-0.013332141696457587</v>
      </c>
      <c r="BE145" s="1012">
        <v>0.0080000000000000002</v>
      </c>
      <c r="BF145" s="905">
        <v>-0.06</v>
      </c>
      <c r="BG145" s="905">
        <v>-0.058000000000000003</v>
      </c>
      <c r="BH145" s="907">
        <v>-0.0040000000000000001</v>
      </c>
      <c r="BI145" s="905">
        <v>-0.05</v>
      </c>
      <c r="BJ145" s="1011">
        <f>+BJ77/BJ59</f>
        <v>-0.04223192535966535</v>
      </c>
      <c r="BK145" s="905">
        <v>-0.05</v>
      </c>
      <c r="BL145" s="905">
        <v>-0.05</v>
      </c>
      <c r="BM145" s="905">
        <v>-0.05</v>
      </c>
      <c r="BN145" s="905">
        <v>-0.05</v>
      </c>
      <c r="BO145" s="1011">
        <f>+BO77/BO59</f>
        <v>-0.049999999999999989</v>
      </c>
      <c r="BP145" s="1012">
        <v>-0.05</v>
      </c>
      <c r="BQ145" s="1012">
        <v>-0.05</v>
      </c>
      <c r="BR145" s="1012">
        <v>-0.05</v>
      </c>
      <c r="BS145" s="47"/>
    </row>
    <row r="146" spans="1:71" s="24" customFormat="1" ht="15">
      <c r="A146" s="494" t="s">
        <v>846</v>
      </c>
      <c r="B146" s="231"/>
      <c r="C146" s="1011"/>
      <c r="D146" s="1011"/>
      <c r="E146" s="1011"/>
      <c r="F146" s="1011"/>
      <c r="G146" s="1011"/>
      <c r="H146" s="130"/>
      <c r="I146" s="130"/>
      <c r="J146" s="130"/>
      <c r="K146" s="130"/>
      <c r="L146" s="1011"/>
      <c r="M146" s="130"/>
      <c r="N146" s="130"/>
      <c r="O146" s="130"/>
      <c r="P146" s="130"/>
      <c r="Q146" s="1012">
        <v>0</v>
      </c>
      <c r="R146" s="905">
        <v>-0.002</v>
      </c>
      <c r="S146" s="905">
        <v>0.0080000000000000002</v>
      </c>
      <c r="T146" s="905">
        <v>0.0030000000000000001</v>
      </c>
      <c r="U146" s="130">
        <f>+U78/U59</f>
        <v>-0.0010032985156679481</v>
      </c>
      <c r="V146" s="1012">
        <v>0.002</v>
      </c>
      <c r="W146" s="905">
        <v>0.002</v>
      </c>
      <c r="X146" s="905">
        <v>-0.002</v>
      </c>
      <c r="Y146" s="905">
        <v>-0.001</v>
      </c>
      <c r="Z146" s="130">
        <f>+Z78/Z59</f>
        <v>-0.0029642857142857144</v>
      </c>
      <c r="AA146" s="1012">
        <v>-0.001</v>
      </c>
      <c r="AB146" s="905">
        <v>0.019</v>
      </c>
      <c r="AC146" s="905">
        <v>0.023</v>
      </c>
      <c r="AD146" s="905">
        <v>0.0030000000000000001</v>
      </c>
      <c r="AE146" s="130">
        <f>+AE78/AE59</f>
        <v>-0.012288923719958206</v>
      </c>
      <c r="AF146" s="1012">
        <v>0.0080000000000000002</v>
      </c>
      <c r="AG146" s="905">
        <v>0.024</v>
      </c>
      <c r="AH146" s="905">
        <v>0.0060000000000000001</v>
      </c>
      <c r="AI146" s="905">
        <v>0.001</v>
      </c>
      <c r="AJ146" s="130">
        <f>+AJ78/AJ59</f>
        <v>0.001538575667655785</v>
      </c>
      <c r="AK146" s="1012">
        <v>0.0080000000000000002</v>
      </c>
      <c r="AL146" s="905">
        <v>-0.0040000000000000001</v>
      </c>
      <c r="AM146" s="905">
        <v>0.012999999999999999</v>
      </c>
      <c r="AN146" s="905">
        <v>-0.21299999999999999</v>
      </c>
      <c r="AO146" s="130">
        <f>+AO78/AO59</f>
        <v>0.00097655502392347067</v>
      </c>
      <c r="AP146" s="1012">
        <v>-0.050999999999999997</v>
      </c>
      <c r="AQ146" s="905">
        <v>-0.086999999999999994</v>
      </c>
      <c r="AR146" s="905">
        <v>0.015</v>
      </c>
      <c r="AS146" s="905">
        <v>0.001</v>
      </c>
      <c r="AT146" s="130">
        <f>+AT78/AT59</f>
        <v>0.00025288239815526018</v>
      </c>
      <c r="AU146" s="1012">
        <v>-0.017000000000000001</v>
      </c>
      <c r="AV146" s="905">
        <v>-0.0040000000000000001</v>
      </c>
      <c r="AW146" s="905">
        <v>0.033000000000000002</v>
      </c>
      <c r="AX146" s="905">
        <v>0.001</v>
      </c>
      <c r="AY146" s="130">
        <f>+AY78/AY59</f>
        <v>-0.0016301470588235233</v>
      </c>
      <c r="AZ146" s="1012">
        <v>0.0070000000000000001</v>
      </c>
      <c r="BA146" s="905">
        <v>-0.002</v>
      </c>
      <c r="BB146" s="905">
        <v>0.017999999999999999</v>
      </c>
      <c r="BC146" s="905">
        <v>0.0060000000000000001</v>
      </c>
      <c r="BD146" s="130">
        <f>+BD78/BD59</f>
        <v>-0.0093828404289892729</v>
      </c>
      <c r="BE146" s="1012">
        <v>0.0030000000000000001</v>
      </c>
      <c r="BF146" s="905">
        <v>-0.047</v>
      </c>
      <c r="BG146" s="905">
        <v>-0.039</v>
      </c>
      <c r="BH146" s="907">
        <v>0</v>
      </c>
      <c r="BI146" s="905">
        <v>0.01</v>
      </c>
      <c r="BJ146" s="1011">
        <f>+BJ78/BJ59</f>
        <v>-0.019303801283987582</v>
      </c>
      <c r="BK146" s="905">
        <v>0.01</v>
      </c>
      <c r="BL146" s="905">
        <v>0.01</v>
      </c>
      <c r="BM146" s="905">
        <v>0.01</v>
      </c>
      <c r="BN146" s="905">
        <v>0.01</v>
      </c>
      <c r="BO146" s="1011">
        <f>+BO78/BO59</f>
        <v>0.0099999999999999985</v>
      </c>
      <c r="BP146" s="1012">
        <v>0.01</v>
      </c>
      <c r="BQ146" s="1012">
        <v>0.01</v>
      </c>
      <c r="BR146" s="1012">
        <v>0.01</v>
      </c>
      <c r="BS146" s="47"/>
    </row>
    <row r="147" spans="1:71" s="24" customFormat="1" ht="15">
      <c r="A147" s="584" t="s">
        <v>765</v>
      </c>
      <c r="B147" s="584"/>
      <c r="C147" s="1018"/>
      <c r="D147" s="1018"/>
      <c r="E147" s="1018"/>
      <c r="F147" s="1018"/>
      <c r="G147" s="1018"/>
      <c r="H147" s="586"/>
      <c r="I147" s="586"/>
      <c r="J147" s="586"/>
      <c r="K147" s="586">
        <f>K79/K59</f>
        <v>0</v>
      </c>
      <c r="L147" s="1018"/>
      <c r="M147" s="586"/>
      <c r="N147" s="586"/>
      <c r="O147" s="586"/>
      <c r="P147" s="586"/>
      <c r="Q147" s="1020">
        <v>0.56299999999999994</v>
      </c>
      <c r="R147" s="909">
        <v>0.70699999999999996</v>
      </c>
      <c r="S147" s="909">
        <v>0.747</v>
      </c>
      <c r="T147" s="909">
        <v>0.53900000000000003</v>
      </c>
      <c r="U147" s="586">
        <f>+U79/U59</f>
        <v>0.45951566794942267</v>
      </c>
      <c r="V147" s="1020">
        <v>0.61299999999999999</v>
      </c>
      <c r="W147" s="909">
        <v>0.72399999999999998</v>
      </c>
      <c r="X147" s="909">
        <v>0.75900000000000001</v>
      </c>
      <c r="Y147" s="909">
        <v>0.57599999999999996</v>
      </c>
      <c r="Z147" s="586">
        <f>+Z79/Z59</f>
        <v>0.63065097402597403</v>
      </c>
      <c r="AA147" s="1020">
        <v>0.67200000000000004</v>
      </c>
      <c r="AB147" s="909">
        <v>0.57899999999999996</v>
      </c>
      <c r="AC147" s="909">
        <v>0.75700000000000001</v>
      </c>
      <c r="AD147" s="909">
        <v>0.64200000000000002</v>
      </c>
      <c r="AE147" s="586">
        <f>+AE79/AE59</f>
        <v>0.79505538140020893</v>
      </c>
      <c r="AF147" s="1020">
        <v>0.69399999999999995</v>
      </c>
      <c r="AG147" s="909">
        <v>0.69299999999999995</v>
      </c>
      <c r="AH147" s="909">
        <v>0.82</v>
      </c>
      <c r="AI147" s="909">
        <v>0.59299999999999997</v>
      </c>
      <c r="AJ147" s="586">
        <f>+AJ79/AJ59</f>
        <v>0.50443916913946596</v>
      </c>
      <c r="AK147" s="1020">
        <v>0.65100000000000002</v>
      </c>
      <c r="AL147" s="909">
        <v>0.48899999999999999</v>
      </c>
      <c r="AM147" s="909">
        <v>0.84799999999999998</v>
      </c>
      <c r="AN147" s="909">
        <v>0.80400000000000005</v>
      </c>
      <c r="AO147" s="586">
        <f>+AO79/AO59</f>
        <v>0.55041387559808641</v>
      </c>
      <c r="AP147" s="1020">
        <v>0.67300000000000004</v>
      </c>
      <c r="AQ147" s="909">
        <v>0.64900000000000002</v>
      </c>
      <c r="AR147" s="909">
        <v>0.76300000000000001</v>
      </c>
      <c r="AS147" s="909">
        <v>0.85899999999999999</v>
      </c>
      <c r="AT147" s="586">
        <f>+AT79/AT59</f>
        <v>0.61833013066871645</v>
      </c>
      <c r="AU147" s="1020">
        <v>0.72199999999999998</v>
      </c>
      <c r="AV147" s="909">
        <v>0.61799999999999999</v>
      </c>
      <c r="AW147" s="909">
        <v>0.845</v>
      </c>
      <c r="AX147" s="909">
        <v>0.67400000000000004</v>
      </c>
      <c r="AY147" s="909">
        <v>0.70399999999999996</v>
      </c>
      <c r="AZ147" s="1020">
        <v>0.71099999999999997</v>
      </c>
      <c r="BA147" s="909">
        <v>0.985</v>
      </c>
      <c r="BB147" s="909">
        <v>1.25</v>
      </c>
      <c r="BC147" s="909">
        <v>0.82399999999999995</v>
      </c>
      <c r="BD147" s="909">
        <v>0.39400000000000002</v>
      </c>
      <c r="BE147" s="1020">
        <v>0.85399999999999998</v>
      </c>
      <c r="BF147" s="909">
        <v>0.60299999999999998</v>
      </c>
      <c r="BG147" s="909">
        <v>0.90300000000000002</v>
      </c>
      <c r="BH147" s="910">
        <v>0.76300000000000001</v>
      </c>
      <c r="BI147" s="586">
        <f t="shared" si="525" ref="BI147:BR147">+BI79/BI59</f>
        <v>0.65999999999999992</v>
      </c>
      <c r="BJ147" s="1018">
        <f t="shared" si="525"/>
        <v>0.73549188857203329</v>
      </c>
      <c r="BK147" s="586">
        <f t="shared" si="525"/>
        <v>0.66000000000000014</v>
      </c>
      <c r="BL147" s="586">
        <f t="shared" si="525"/>
        <v>0.66</v>
      </c>
      <c r="BM147" s="586">
        <f t="shared" si="525"/>
        <v>0.65999999999999992</v>
      </c>
      <c r="BN147" s="586">
        <f t="shared" si="525"/>
        <v>0.65999999999999992</v>
      </c>
      <c r="BO147" s="1018">
        <f t="shared" si="525"/>
        <v>0.66</v>
      </c>
      <c r="BP147" s="1018">
        <f t="shared" si="525"/>
        <v>0.66</v>
      </c>
      <c r="BQ147" s="1018">
        <f t="shared" si="525"/>
        <v>0.66000000000000014</v>
      </c>
      <c r="BR147" s="1018">
        <f t="shared" si="525"/>
        <v>0.66</v>
      </c>
      <c r="BS147" s="47"/>
    </row>
    <row r="148" spans="1:71" s="24" customFormat="1" ht="15">
      <c r="A148" s="583" t="s">
        <v>847</v>
      </c>
      <c r="B148" s="231"/>
      <c r="C148" s="1011"/>
      <c r="D148" s="1011"/>
      <c r="E148" s="1011"/>
      <c r="F148" s="1011"/>
      <c r="G148" s="1011"/>
      <c r="H148" s="130"/>
      <c r="I148" s="130"/>
      <c r="J148" s="130"/>
      <c r="K148" s="130"/>
      <c r="L148" s="1011"/>
      <c r="M148" s="130"/>
      <c r="N148" s="130"/>
      <c r="O148" s="130"/>
      <c r="P148" s="130"/>
      <c r="Q148" s="1011">
        <f t="shared" si="526" ref="Q148">+Q150-Q149</f>
        <v>0.54000000000000004</v>
      </c>
      <c r="R148" s="130">
        <f t="shared" si="527" ref="R148">+R150-R149</f>
        <v>0.53499999999999992</v>
      </c>
      <c r="S148" s="130">
        <f t="shared" si="528" ref="S148">+S150-S149</f>
        <v>0.51900000000000002</v>
      </c>
      <c r="T148" s="130">
        <f t="shared" si="529" ref="T148">+T150-T149</f>
        <v>0.54800000000000004</v>
      </c>
      <c r="U148" s="130">
        <f>+U80/U60</f>
        <v>0.48638927738927751</v>
      </c>
      <c r="V148" s="1011">
        <f t="shared" si="530" ref="V148">+V150-V149</f>
        <v>0.52200000000000002</v>
      </c>
      <c r="W148" s="130">
        <f t="shared" si="531" ref="W148">+W150-W149</f>
        <v>0.48799999999999999</v>
      </c>
      <c r="X148" s="130">
        <f t="shared" si="532" ref="X148">+X150-X149</f>
        <v>0.502</v>
      </c>
      <c r="Y148" s="130">
        <f t="shared" si="533" ref="Y148">+Y150-Y149</f>
        <v>0.59699999999999998</v>
      </c>
      <c r="Z148" s="130">
        <f>+Z80/Z60</f>
        <v>0.48472297297297295</v>
      </c>
      <c r="AA148" s="1011">
        <f t="shared" si="534" ref="AA148">+AA150-AA149</f>
        <v>0.51800000000000002</v>
      </c>
      <c r="AB148" s="130">
        <f t="shared" si="535" ref="AB148">+AB150-AB149</f>
        <v>0.57099999999999995</v>
      </c>
      <c r="AC148" s="130">
        <f t="shared" si="536" ref="AC148">+AC150-AC149</f>
        <v>0.51400000000000001</v>
      </c>
      <c r="AD148" s="130">
        <f t="shared" si="537" ref="AD148">+AD150-AD149</f>
        <v>0.56999999999999995</v>
      </c>
      <c r="AE148" s="130">
        <f>+AE80/AE60</f>
        <v>0.51762114537444959</v>
      </c>
      <c r="AF148" s="1011">
        <f t="shared" si="538" ref="AF148">+AF150-AF149</f>
        <v>0.54300000000000004</v>
      </c>
      <c r="AG148" s="130">
        <f t="shared" si="539" ref="AG148">+AG150-AG149</f>
        <v>0.485</v>
      </c>
      <c r="AH148" s="130">
        <f t="shared" si="540" ref="AH148">+AH150-AH149</f>
        <v>0.51900000000000002</v>
      </c>
      <c r="AI148" s="130">
        <f t="shared" si="541" ref="AI148">+AI150-AI149</f>
        <v>0.55899999999999994</v>
      </c>
      <c r="AJ148" s="130">
        <f>+AJ80/AJ60</f>
        <v>0.5004501061571125</v>
      </c>
      <c r="AK148" s="1011">
        <f t="shared" si="542" ref="AK148">+AK150-AK149</f>
        <v>0.51600000000000001</v>
      </c>
      <c r="AL148" s="130">
        <f t="shared" si="543" ref="AL148">+AL150-AL149</f>
        <v>0.53800000000000003</v>
      </c>
      <c r="AM148" s="130">
        <f t="shared" si="544" ref="AM148">+AM150-AM149</f>
        <v>0.46300000000000002</v>
      </c>
      <c r="AN148" s="130">
        <f t="shared" si="545" ref="AN148">+AN150-AN149</f>
        <v>0.695</v>
      </c>
      <c r="AO148" s="130">
        <f>+AO80/AO60</f>
        <v>0.45442148760330592</v>
      </c>
      <c r="AP148" s="1011">
        <f t="shared" si="546" ref="AP148">+AP150-AP149</f>
        <v>0.53800000000000003</v>
      </c>
      <c r="AQ148" s="130">
        <f t="shared" si="547" ref="AQ148">+AQ150-AQ149</f>
        <v>0.63800000000000012</v>
      </c>
      <c r="AR148" s="130">
        <f t="shared" si="548" ref="AR148">+AR150-AR149</f>
        <v>0.55200000000000005</v>
      </c>
      <c r="AS148" s="130">
        <f t="shared" si="549" ref="AS148">+AS150-AS149</f>
        <v>0.58000000000000007</v>
      </c>
      <c r="AT148" s="130">
        <f>+AT80/AT60</f>
        <v>0.5327387218045111</v>
      </c>
      <c r="AU148" s="1011">
        <f>+AU150-AU149</f>
        <v>0.57500000000000007</v>
      </c>
      <c r="AV148" s="130">
        <f>+AV150-AV149</f>
        <v>0.66199999999999992</v>
      </c>
      <c r="AW148" s="130">
        <f>+AW150-AW149</f>
        <v>0.61799999999999999</v>
      </c>
      <c r="AX148" s="130">
        <f>+AX150-AX149</f>
        <v>0.71899999999999997</v>
      </c>
      <c r="AY148" s="130">
        <f>+AY80/AY60</f>
        <v>0.75285451197053443</v>
      </c>
      <c r="AZ148" s="1011">
        <f>+AZ150-AZ149</f>
        <v>0.68800000000000006</v>
      </c>
      <c r="BA148" s="130">
        <f>+BA150-BA149</f>
        <v>0.70799999999999996</v>
      </c>
      <c r="BB148" s="130">
        <f>+BB150-BB149</f>
        <v>0.69700000000000006</v>
      </c>
      <c r="BC148" s="130">
        <f>+BC150-BC149</f>
        <v>0.73000000000000009</v>
      </c>
      <c r="BD148" s="130">
        <f>+BD80/BD60</f>
        <v>0.56819523809523764</v>
      </c>
      <c r="BE148" s="1017">
        <f>+BE150-BE149</f>
        <v>0.67399999999999993</v>
      </c>
      <c r="BF148" s="47">
        <f>+BF150-BF149</f>
        <v>0.68800000000000006</v>
      </c>
      <c r="BG148" s="130">
        <f>+BG150-BG149</f>
        <v>0.65800000000000014</v>
      </c>
      <c r="BH148" s="748">
        <f>+BH150-BH149</f>
        <v>0.65700000000000003</v>
      </c>
      <c r="BI148" s="905">
        <v>0.60</v>
      </c>
      <c r="BJ148" s="1011">
        <f>+BJ80/BJ60</f>
        <v>0.6525666423121248</v>
      </c>
      <c r="BK148" s="905">
        <v>0.60</v>
      </c>
      <c r="BL148" s="905">
        <v>0.60</v>
      </c>
      <c r="BM148" s="905">
        <v>0.60</v>
      </c>
      <c r="BN148" s="905">
        <v>0.60</v>
      </c>
      <c r="BO148" s="1011">
        <f>+BO80/BO60</f>
        <v>0.60</v>
      </c>
      <c r="BP148" s="1012">
        <v>0.60</v>
      </c>
      <c r="BQ148" s="1012">
        <v>0.60</v>
      </c>
      <c r="BR148" s="1012">
        <v>0.60</v>
      </c>
      <c r="BS148" s="47"/>
    </row>
    <row r="149" spans="1:71" s="24" customFormat="1" ht="15">
      <c r="A149" s="583" t="s">
        <v>848</v>
      </c>
      <c r="B149" s="231"/>
      <c r="C149" s="1011"/>
      <c r="D149" s="1011"/>
      <c r="E149" s="1011"/>
      <c r="F149" s="1011"/>
      <c r="G149" s="1011"/>
      <c r="H149" s="130"/>
      <c r="I149" s="130"/>
      <c r="J149" s="130"/>
      <c r="K149" s="130"/>
      <c r="L149" s="1011"/>
      <c r="M149" s="130"/>
      <c r="N149" s="130"/>
      <c r="O149" s="130"/>
      <c r="P149" s="130"/>
      <c r="Q149" s="1012">
        <v>0.079000000000000001</v>
      </c>
      <c r="R149" s="905">
        <v>0.152</v>
      </c>
      <c r="S149" s="905">
        <v>0.151</v>
      </c>
      <c r="T149" s="905">
        <v>0.058999999999999997</v>
      </c>
      <c r="U149" s="130">
        <f>+U81/U60</f>
        <v>0.09079254079254083</v>
      </c>
      <c r="V149" s="1012">
        <v>0.113</v>
      </c>
      <c r="W149" s="905">
        <v>0.14099999999999999</v>
      </c>
      <c r="X149" s="905">
        <v>0.13800000000000001</v>
      </c>
      <c r="Y149" s="905">
        <v>0.14799999999999999</v>
      </c>
      <c r="Z149" s="130">
        <f>+Z81/Z60</f>
        <v>0.05031306306306306</v>
      </c>
      <c r="AA149" s="1012">
        <v>0.11899999999999999</v>
      </c>
      <c r="AB149" s="905">
        <v>0.065</v>
      </c>
      <c r="AC149" s="905">
        <v>0.105</v>
      </c>
      <c r="AD149" s="905">
        <v>0.114</v>
      </c>
      <c r="AE149" s="130">
        <f>+AE81/AE60</f>
        <v>0.19881718061674011</v>
      </c>
      <c r="AF149" s="1012">
        <v>0.121</v>
      </c>
      <c r="AG149" s="905">
        <v>0.14399999999999999</v>
      </c>
      <c r="AH149" s="905">
        <v>0.126</v>
      </c>
      <c r="AI149" s="905">
        <v>0.052999999999999999</v>
      </c>
      <c r="AJ149" s="130">
        <f>+AJ81/AJ60</f>
        <v>0.038906581740976623</v>
      </c>
      <c r="AK149" s="1012">
        <v>0.09</v>
      </c>
      <c r="AL149" s="905">
        <v>0.028000000000000001</v>
      </c>
      <c r="AM149" s="905">
        <v>0.186</v>
      </c>
      <c r="AN149" s="905">
        <v>0.13400000000000001</v>
      </c>
      <c r="AO149" s="130">
        <f>+AO81/AO60</f>
        <v>0.066851239669421414</v>
      </c>
      <c r="AP149" s="1012">
        <v>0.104</v>
      </c>
      <c r="AQ149" s="905">
        <v>0.115</v>
      </c>
      <c r="AR149" s="905">
        <v>0.11899999999999999</v>
      </c>
      <c r="AS149" s="905">
        <v>0.19600000000000001</v>
      </c>
      <c r="AT149" s="130">
        <f>+AT81/AT60</f>
        <v>0.012251879699248121</v>
      </c>
      <c r="AU149" s="1012">
        <v>0.11</v>
      </c>
      <c r="AV149" s="905">
        <v>0.064000000000000001</v>
      </c>
      <c r="AW149" s="905">
        <v>0.13</v>
      </c>
      <c r="AX149" s="905">
        <v>0.057000000000000002</v>
      </c>
      <c r="AY149" s="130">
        <f>+AY81/AY60</f>
        <v>0.23930570902394108</v>
      </c>
      <c r="AZ149" s="1012">
        <v>0.123</v>
      </c>
      <c r="BA149" s="905">
        <v>0.23799999999999999</v>
      </c>
      <c r="BB149" s="905">
        <v>0.24199999999999999</v>
      </c>
      <c r="BC149" s="905">
        <v>0.097000000000000003</v>
      </c>
      <c r="BD149" s="130">
        <f>+BD81/BD60</f>
        <v>0.021771428571428494</v>
      </c>
      <c r="BE149" s="1012">
        <v>0.14599999999999999</v>
      </c>
      <c r="BF149" s="905">
        <v>0.092999999999999999</v>
      </c>
      <c r="BG149" s="905">
        <v>0.17299999999999999</v>
      </c>
      <c r="BH149" s="907">
        <v>0.23799999999999999</v>
      </c>
      <c r="BI149" s="905">
        <v>0.10000000000000001</v>
      </c>
      <c r="BJ149" s="1011">
        <f>+BJ81/BJ60</f>
        <v>0.15485195200397703</v>
      </c>
      <c r="BK149" s="905">
        <v>0.10000000000000001</v>
      </c>
      <c r="BL149" s="905">
        <v>0.10000000000000001</v>
      </c>
      <c r="BM149" s="905">
        <v>0.10000000000000001</v>
      </c>
      <c r="BN149" s="905">
        <v>0.10000000000000001</v>
      </c>
      <c r="BO149" s="1011">
        <f>+BO81/BO60</f>
        <v>0.10000000000000002</v>
      </c>
      <c r="BP149" s="1012">
        <v>0.10000000000000002</v>
      </c>
      <c r="BQ149" s="1012">
        <v>0.10000000000000002</v>
      </c>
      <c r="BR149" s="1012">
        <v>0.10000000000000002</v>
      </c>
      <c r="BS149" s="47"/>
    </row>
    <row r="150" spans="1:71" s="24" customFormat="1" ht="15">
      <c r="A150" s="587" t="s">
        <v>849</v>
      </c>
      <c r="B150" s="584"/>
      <c r="C150" s="1018"/>
      <c r="D150" s="1018"/>
      <c r="E150" s="1018"/>
      <c r="F150" s="1018"/>
      <c r="G150" s="1018"/>
      <c r="H150" s="586"/>
      <c r="I150" s="586"/>
      <c r="J150" s="586"/>
      <c r="K150" s="586"/>
      <c r="L150" s="1018"/>
      <c r="M150" s="586"/>
      <c r="N150" s="586"/>
      <c r="O150" s="586"/>
      <c r="P150" s="586"/>
      <c r="Q150" s="1018">
        <f t="shared" si="550" ref="Q150">+Q153-Q152-Q151</f>
        <v>0.61899999999999999</v>
      </c>
      <c r="R150" s="586">
        <f t="shared" si="551" ref="R150">+R153-R152-R151</f>
        <v>0.68699999999999994</v>
      </c>
      <c r="S150" s="586">
        <f t="shared" si="552" ref="S150">+S153-S152-S151</f>
        <v>0.67</v>
      </c>
      <c r="T150" s="586">
        <f t="shared" si="553" ref="T150">+T153-T152-T151</f>
        <v>0.60699999999999998</v>
      </c>
      <c r="U150" s="586">
        <f t="shared" si="554" ref="U150">+U82/U60</f>
        <v>0.57718181818181835</v>
      </c>
      <c r="V150" s="1018">
        <f t="shared" si="555" ref="V150">+V153-V152-V151</f>
        <v>0.635</v>
      </c>
      <c r="W150" s="586">
        <f t="shared" si="556" ref="W150">+W153-W152-W151</f>
        <v>0.629</v>
      </c>
      <c r="X150" s="586">
        <f t="shared" si="557" ref="X150">+X153-X152-X151</f>
        <v>0.64</v>
      </c>
      <c r="Y150" s="586">
        <f t="shared" si="558" ref="Y150">+Y153-Y152-Y151</f>
        <v>0.745</v>
      </c>
      <c r="Z150" s="586">
        <f t="shared" si="559" ref="Z150">+Z82/Z60</f>
        <v>0.535036036036036</v>
      </c>
      <c r="AA150" s="1018">
        <f t="shared" si="560" ref="AA150">+AA153-AA152-AA151</f>
        <v>0.63700000000000001</v>
      </c>
      <c r="AB150" s="586">
        <f t="shared" si="561" ref="AB150">+AB153-AB152-AB151</f>
        <v>0.63600000000000001</v>
      </c>
      <c r="AC150" s="586">
        <f t="shared" si="562" ref="AC150">+AC153-AC152-AC151</f>
        <v>0.61899999999999999</v>
      </c>
      <c r="AD150" s="586">
        <f t="shared" si="563" ref="AD150">+AD153-AD152-AD151</f>
        <v>0.68399999999999994</v>
      </c>
      <c r="AE150" s="586">
        <f t="shared" si="564" ref="AE150">+AE82/AE60</f>
        <v>0.71643832599118973</v>
      </c>
      <c r="AF150" s="1018">
        <f t="shared" si="565" ref="AF150">+AF153-AF152-AF151</f>
        <v>0.66400000000000003</v>
      </c>
      <c r="AG150" s="586">
        <f t="shared" si="566" ref="AG150">+AG153-AG152-AG151</f>
        <v>0.629</v>
      </c>
      <c r="AH150" s="586">
        <f t="shared" si="567" ref="AH150">+AH153-AH152-AH151</f>
        <v>0.645</v>
      </c>
      <c r="AI150" s="586">
        <f t="shared" si="568" ref="AI150">+AI153-AI152-AI151</f>
        <v>0.61199999999999999</v>
      </c>
      <c r="AJ150" s="586">
        <f t="shared" si="569" ref="AJ150">+AJ82/AJ60</f>
        <v>0.5393566878980891</v>
      </c>
      <c r="AK150" s="1018">
        <f t="shared" si="570" ref="AK150">+AK153-AK152-AK151</f>
        <v>0.60599999999999998</v>
      </c>
      <c r="AL150" s="586">
        <f t="shared" si="571" ref="AL150">+AL153-AL152-AL151</f>
        <v>0.56600000000000006</v>
      </c>
      <c r="AM150" s="586">
        <f t="shared" si="572" ref="AM150">+AM153-AM152-AM151</f>
        <v>0.64900000000000002</v>
      </c>
      <c r="AN150" s="586">
        <f t="shared" si="573" ref="AN150">+AN153-AN152-AN151</f>
        <v>0.82899999999999996</v>
      </c>
      <c r="AO150" s="586">
        <f t="shared" si="574" ref="AO150">+AO82/AO60</f>
        <v>0.52127272727272733</v>
      </c>
      <c r="AP150" s="1018">
        <f t="shared" si="575" ref="AP150">+AP153-AP152-AP151</f>
        <v>0.64200000000000002</v>
      </c>
      <c r="AQ150" s="586">
        <f t="shared" si="576" ref="AQ150">+AQ153-AQ152-AQ151</f>
        <v>0.75300000000000011</v>
      </c>
      <c r="AR150" s="586">
        <f t="shared" si="577" ref="AR150">+AR153-AR152-AR151</f>
        <v>0.67100000000000004</v>
      </c>
      <c r="AS150" s="586">
        <f t="shared" si="578" ref="AS150">+AS153-AS152-AS151</f>
        <v>0.77600000000000002</v>
      </c>
      <c r="AT150" s="586">
        <f t="shared" si="579" ref="AT150">+AT82/AT60</f>
        <v>0.54499060150375933</v>
      </c>
      <c r="AU150" s="1018">
        <f>+AU153-AU152-AU151</f>
        <v>0.685</v>
      </c>
      <c r="AV150" s="586">
        <f>+AV153-AV152-AV151</f>
        <v>0.72599999999999998</v>
      </c>
      <c r="AW150" s="586">
        <f>+AW153-AW152-AW151</f>
        <v>0.748</v>
      </c>
      <c r="AX150" s="586">
        <f>+AX153-AX152-AX151</f>
        <v>0.77600000000000002</v>
      </c>
      <c r="AY150" s="586">
        <f t="shared" si="580" ref="AY150">+AY82/AY60</f>
        <v>0.99216022099447543</v>
      </c>
      <c r="AZ150" s="1018">
        <f>+AZ153-AZ152-AZ151</f>
        <v>0.81100000000000005</v>
      </c>
      <c r="BA150" s="586">
        <f>+BA153-BA152-BA151</f>
        <v>0.94599999999999995</v>
      </c>
      <c r="BB150" s="586">
        <f>+BB153-BB152-BB151</f>
        <v>0.93900000000000006</v>
      </c>
      <c r="BC150" s="586">
        <f>+BC153-BC152-BC151</f>
        <v>0.82700000000000007</v>
      </c>
      <c r="BD150" s="586">
        <f>+BD82/BD60</f>
        <v>0.5899666666666662</v>
      </c>
      <c r="BE150" s="1019">
        <f>+BE153-BE152-BE151</f>
        <v>0.82</v>
      </c>
      <c r="BF150" s="799">
        <f>+BF153-BF152-BF151</f>
        <v>0.78100000000000003</v>
      </c>
      <c r="BG150" s="586">
        <f>+BG153-BG152-BG151</f>
        <v>0.83100000000000007</v>
      </c>
      <c r="BH150" s="801">
        <f>+BH153-BH152-BH151</f>
        <v>0.895</v>
      </c>
      <c r="BI150" s="586">
        <f t="shared" si="581" ref="BI150:BR150">+BI82/BI60</f>
        <v>0.70</v>
      </c>
      <c r="BJ150" s="1018">
        <f t="shared" si="581"/>
        <v>0.80741859431610175</v>
      </c>
      <c r="BK150" s="586">
        <f t="shared" si="581"/>
        <v>0.70</v>
      </c>
      <c r="BL150" s="586">
        <f t="shared" si="581"/>
        <v>0.70</v>
      </c>
      <c r="BM150" s="586">
        <f t="shared" si="581"/>
        <v>0.70</v>
      </c>
      <c r="BN150" s="586">
        <f t="shared" si="581"/>
        <v>0.70</v>
      </c>
      <c r="BO150" s="1018">
        <f t="shared" si="581"/>
        <v>0.70</v>
      </c>
      <c r="BP150" s="1018">
        <f t="shared" si="581"/>
        <v>0.70</v>
      </c>
      <c r="BQ150" s="1018">
        <f t="shared" si="581"/>
        <v>0.70</v>
      </c>
      <c r="BR150" s="1018">
        <f t="shared" si="581"/>
        <v>0.70</v>
      </c>
      <c r="BS150" s="47"/>
    </row>
    <row r="151" spans="1:71" s="24" customFormat="1" ht="15">
      <c r="A151" s="494" t="s">
        <v>850</v>
      </c>
      <c r="B151" s="231"/>
      <c r="C151" s="1011"/>
      <c r="D151" s="1011"/>
      <c r="E151" s="1011"/>
      <c r="F151" s="1011"/>
      <c r="G151" s="1011"/>
      <c r="H151" s="130"/>
      <c r="I151" s="130"/>
      <c r="J151" s="130"/>
      <c r="K151" s="130"/>
      <c r="L151" s="1011"/>
      <c r="M151" s="130"/>
      <c r="N151" s="130"/>
      <c r="O151" s="130"/>
      <c r="P151" s="130"/>
      <c r="Q151" s="1012">
        <v>0.010999999999999999</v>
      </c>
      <c r="R151" s="905">
        <v>0.012</v>
      </c>
      <c r="S151" s="905">
        <v>-0.025999999999999999</v>
      </c>
      <c r="T151" s="905">
        <v>-0.005</v>
      </c>
      <c r="U151" s="130">
        <f>+U83/U60</f>
        <v>-0.00092773892773893114</v>
      </c>
      <c r="V151" s="1012">
        <v>-0.005</v>
      </c>
      <c r="W151" s="905">
        <v>0.021000000000000001</v>
      </c>
      <c r="X151" s="905">
        <v>-0.021000000000000001</v>
      </c>
      <c r="Y151" s="905">
        <v>0</v>
      </c>
      <c r="Z151" s="130">
        <f>+Z83/Z60</f>
        <v>0.0041779279279279286</v>
      </c>
      <c r="AA151" s="1012">
        <v>0.001</v>
      </c>
      <c r="AB151" s="905">
        <v>-0.014</v>
      </c>
      <c r="AC151" s="905">
        <v>-0.025999999999999999</v>
      </c>
      <c r="AD151" s="905">
        <v>0.0060000000000000001</v>
      </c>
      <c r="AE151" s="130">
        <f>+AE83/AE60</f>
        <v>0.017806167400881055</v>
      </c>
      <c r="AF151" s="1012">
        <v>-0.0040000000000000001</v>
      </c>
      <c r="AG151" s="905">
        <v>0.015</v>
      </c>
      <c r="AH151" s="905">
        <v>0.002</v>
      </c>
      <c r="AI151" s="905">
        <v>0.019</v>
      </c>
      <c r="AJ151" s="130">
        <f>+AJ83/AJ60</f>
        <v>-0.015743099787685774</v>
      </c>
      <c r="AK151" s="1012">
        <v>0.005</v>
      </c>
      <c r="AL151" s="905">
        <v>-0.012999999999999999</v>
      </c>
      <c r="AM151" s="905">
        <v>-0.0040000000000000001</v>
      </c>
      <c r="AN151" s="905">
        <v>-0.11899999999999999</v>
      </c>
      <c r="AO151" s="130">
        <f>+AO83/AO60</f>
        <v>-0.0026776859504132364</v>
      </c>
      <c r="AP151" s="1012">
        <v>-0.035000000000000003</v>
      </c>
      <c r="AQ151" s="905">
        <v>-0.035999999999999997</v>
      </c>
      <c r="AR151" s="905">
        <v>0.002</v>
      </c>
      <c r="AS151" s="905">
        <v>-0.127</v>
      </c>
      <c r="AT151" s="130">
        <f>+AT83/AT60</f>
        <v>-0.04251503759398495</v>
      </c>
      <c r="AU151" s="1012">
        <v>-0.050999999999999997</v>
      </c>
      <c r="AV151" s="905">
        <v>-0.012999999999999999</v>
      </c>
      <c r="AW151" s="905">
        <v>-0.0040000000000000001</v>
      </c>
      <c r="AX151" s="905">
        <v>-0.0089999999999999993</v>
      </c>
      <c r="AY151" s="130">
        <f>+AY83/AY60</f>
        <v>-0.033963167587476979</v>
      </c>
      <c r="AZ151" s="1012">
        <v>-0.015</v>
      </c>
      <c r="BA151" s="905">
        <v>0.005</v>
      </c>
      <c r="BB151" s="905">
        <v>0.005</v>
      </c>
      <c r="BC151" s="905">
        <v>-0.023</v>
      </c>
      <c r="BD151" s="130">
        <f>+BD83/BD60</f>
        <v>0.043388888888888894</v>
      </c>
      <c r="BE151" s="1012">
        <v>0.0080000000000000002</v>
      </c>
      <c r="BF151" s="905">
        <v>0.079000000000000001</v>
      </c>
      <c r="BG151" s="905">
        <v>0.086999999999999994</v>
      </c>
      <c r="BH151" s="907">
        <v>0.070999999999999994</v>
      </c>
      <c r="BI151" s="905">
        <v>-0.05</v>
      </c>
      <c r="BJ151" s="1011">
        <f>+BJ83/BJ60</f>
        <v>0.050905386370997507</v>
      </c>
      <c r="BK151" s="905">
        <v>-0.05</v>
      </c>
      <c r="BL151" s="905">
        <v>-0.05</v>
      </c>
      <c r="BM151" s="905">
        <v>-0.05</v>
      </c>
      <c r="BN151" s="905">
        <v>-0.05</v>
      </c>
      <c r="BO151" s="1011">
        <f>+BO83/BO60</f>
        <v>-0.05000000000000001</v>
      </c>
      <c r="BP151" s="1012">
        <v>-0.05000000000000001</v>
      </c>
      <c r="BQ151" s="1012">
        <v>-0.05000000000000001</v>
      </c>
      <c r="BR151" s="1012">
        <v>-0.05000000000000001</v>
      </c>
      <c r="BS151" s="47"/>
    </row>
    <row r="152" spans="1:71" s="24" customFormat="1" ht="15">
      <c r="A152" s="494" t="s">
        <v>851</v>
      </c>
      <c r="B152" s="231"/>
      <c r="C152" s="1011"/>
      <c r="D152" s="1011"/>
      <c r="E152" s="1011"/>
      <c r="F152" s="1011"/>
      <c r="G152" s="1011"/>
      <c r="H152" s="130"/>
      <c r="I152" s="130"/>
      <c r="J152" s="130"/>
      <c r="K152" s="130"/>
      <c r="L152" s="1011"/>
      <c r="M152" s="130"/>
      <c r="N152" s="130"/>
      <c r="O152" s="130"/>
      <c r="P152" s="130"/>
      <c r="Q152" s="1012">
        <v>-0.001</v>
      </c>
      <c r="R152" s="905">
        <v>-0.0030000000000000001</v>
      </c>
      <c r="S152" s="905">
        <v>0</v>
      </c>
      <c r="T152" s="905">
        <v>-0.0030000000000000001</v>
      </c>
      <c r="U152" s="130">
        <f>+U84/U60</f>
        <v>0.0019603729603729614</v>
      </c>
      <c r="V152" s="1012">
        <v>-0.001</v>
      </c>
      <c r="W152" s="905">
        <v>0.016</v>
      </c>
      <c r="X152" s="905">
        <v>-0.002</v>
      </c>
      <c r="Y152" s="905">
        <v>-0.002</v>
      </c>
      <c r="Z152" s="130">
        <f>+Z84/Z60</f>
        <v>-0.0037072072072072068</v>
      </c>
      <c r="AA152" s="1012">
        <v>0.002</v>
      </c>
      <c r="AB152" s="905">
        <v>-0.005</v>
      </c>
      <c r="AC152" s="905">
        <v>0</v>
      </c>
      <c r="AD152" s="905">
        <v>0</v>
      </c>
      <c r="AE152" s="130">
        <f>+AE84/AE60</f>
        <v>0.0048898678414096919</v>
      </c>
      <c r="AF152" s="1012">
        <v>0</v>
      </c>
      <c r="AG152" s="905">
        <v>0.02</v>
      </c>
      <c r="AH152" s="905">
        <v>-0.0060000000000000001</v>
      </c>
      <c r="AI152" s="905">
        <v>-0.0040000000000000001</v>
      </c>
      <c r="AJ152" s="130">
        <f>+AJ84/AJ60</f>
        <v>-0.0096220806794055178</v>
      </c>
      <c r="AK152" s="1012">
        <v>0</v>
      </c>
      <c r="AL152" s="905">
        <v>-0.0089999999999999993</v>
      </c>
      <c r="AM152" s="905">
        <v>0.0040000000000000001</v>
      </c>
      <c r="AN152" s="905">
        <v>-0.08</v>
      </c>
      <c r="AO152" s="130">
        <f>+AO84/AO60</f>
        <v>0.0058409090909090876</v>
      </c>
      <c r="AP152" s="1012">
        <v>-0.02</v>
      </c>
      <c r="AQ152" s="905">
        <v>-0.035999999999999997</v>
      </c>
      <c r="AR152" s="905">
        <v>0.0070000000000000001</v>
      </c>
      <c r="AS152" s="905">
        <v>0</v>
      </c>
      <c r="AT152" s="130">
        <f>+AT84/AT60</f>
        <v>0.0078233082706766939</v>
      </c>
      <c r="AU152" s="1012">
        <v>-0.005</v>
      </c>
      <c r="AV152" s="905">
        <v>0.0080000000000000002</v>
      </c>
      <c r="AW152" s="905">
        <v>0.005</v>
      </c>
      <c r="AX152" s="905">
        <v>-0.0060000000000000001</v>
      </c>
      <c r="AY152" s="130">
        <f>+AY84/AY60</f>
        <v>-0.0028987108655616949</v>
      </c>
      <c r="AZ152" s="1012">
        <v>0.001</v>
      </c>
      <c r="BA152" s="905">
        <v>-0.012999999999999999</v>
      </c>
      <c r="BB152" s="905">
        <v>-0.0089999999999999993</v>
      </c>
      <c r="BC152" s="905">
        <v>-0.017999999999999999</v>
      </c>
      <c r="BD152" s="130">
        <f>+BD84/BD60</f>
        <v>0.0070428571428571389</v>
      </c>
      <c r="BE152" s="1012">
        <v>-0.0080000000000000002</v>
      </c>
      <c r="BF152" s="905">
        <v>-0.0040000000000000001</v>
      </c>
      <c r="BG152" s="905">
        <v>0.002</v>
      </c>
      <c r="BH152" s="907">
        <v>-0.0040000000000000001</v>
      </c>
      <c r="BI152" s="905">
        <v>-0.005</v>
      </c>
      <c r="BJ152" s="1011">
        <f>+BJ84/BJ60</f>
        <v>-0.0026333411167436221</v>
      </c>
      <c r="BK152" s="905">
        <v>-0.005</v>
      </c>
      <c r="BL152" s="905">
        <v>-0.005</v>
      </c>
      <c r="BM152" s="905">
        <v>-0.005</v>
      </c>
      <c r="BN152" s="905">
        <v>-0.005</v>
      </c>
      <c r="BO152" s="1011">
        <f>+BO84/BO60</f>
        <v>-0.005</v>
      </c>
      <c r="BP152" s="1012">
        <v>-0.005000000000000001</v>
      </c>
      <c r="BQ152" s="1012">
        <v>-0.005000000000000001</v>
      </c>
      <c r="BR152" s="1012">
        <v>-0.005000000000000001</v>
      </c>
      <c r="BS152" s="47"/>
    </row>
    <row r="153" spans="1:71" s="24" customFormat="1" ht="15">
      <c r="A153" s="584" t="s">
        <v>766</v>
      </c>
      <c r="B153" s="584"/>
      <c r="C153" s="1018"/>
      <c r="D153" s="1018"/>
      <c r="E153" s="1018"/>
      <c r="F153" s="1018"/>
      <c r="G153" s="1018"/>
      <c r="H153" s="586"/>
      <c r="I153" s="586"/>
      <c r="J153" s="586"/>
      <c r="K153" s="586">
        <f>K85/K60</f>
        <v>0</v>
      </c>
      <c r="L153" s="1018"/>
      <c r="M153" s="586"/>
      <c r="N153" s="586"/>
      <c r="O153" s="586"/>
      <c r="P153" s="586"/>
      <c r="Q153" s="1020">
        <v>0.629</v>
      </c>
      <c r="R153" s="909">
        <v>0.69599999999999995</v>
      </c>
      <c r="S153" s="909">
        <v>0.64400000000000002</v>
      </c>
      <c r="T153" s="909">
        <v>0.59899999999999998</v>
      </c>
      <c r="U153" s="586">
        <f>+U85/U60</f>
        <v>0.57821445221445245</v>
      </c>
      <c r="V153" s="1020">
        <v>0.629</v>
      </c>
      <c r="W153" s="909">
        <v>0.66600000000000004</v>
      </c>
      <c r="X153" s="909">
        <v>0.61699999999999999</v>
      </c>
      <c r="Y153" s="909">
        <v>0.74299999999999999</v>
      </c>
      <c r="Z153" s="586">
        <f>+Z85/Z60</f>
        <v>0.53550675675675674</v>
      </c>
      <c r="AA153" s="1020">
        <v>0.64</v>
      </c>
      <c r="AB153" s="909">
        <v>0.61699999999999999</v>
      </c>
      <c r="AC153" s="909">
        <v>0.59299999999999997</v>
      </c>
      <c r="AD153" s="909">
        <v>0.69</v>
      </c>
      <c r="AE153" s="586">
        <f>+AE85/AE60</f>
        <v>0.73913436123348053</v>
      </c>
      <c r="AF153" s="1020">
        <v>0.66</v>
      </c>
      <c r="AG153" s="909">
        <v>0.66400000000000003</v>
      </c>
      <c r="AH153" s="909">
        <v>0.64100000000000001</v>
      </c>
      <c r="AI153" s="909">
        <v>0.627</v>
      </c>
      <c r="AJ153" s="586">
        <f>+AJ85/AJ60</f>
        <v>0.51399150743099786</v>
      </c>
      <c r="AK153" s="1020">
        <v>0.61099999999999999</v>
      </c>
      <c r="AL153" s="909">
        <v>0.54400000000000004</v>
      </c>
      <c r="AM153" s="909">
        <v>0.64900000000000002</v>
      </c>
      <c r="AN153" s="909">
        <v>0.63</v>
      </c>
      <c r="AO153" s="586">
        <f>+AO85/AO60</f>
        <v>0.52443595041322311</v>
      </c>
      <c r="AP153" s="1020">
        <v>0.58699999999999997</v>
      </c>
      <c r="AQ153" s="909">
        <v>0.68100000000000005</v>
      </c>
      <c r="AR153" s="909">
        <v>0.68</v>
      </c>
      <c r="AS153" s="909">
        <v>0.64900000000000002</v>
      </c>
      <c r="AT153" s="586">
        <f>+AT85/AT60</f>
        <v>0.510298872180451</v>
      </c>
      <c r="AU153" s="1020">
        <v>0.629</v>
      </c>
      <c r="AV153" s="909">
        <v>0.72099999999999997</v>
      </c>
      <c r="AW153" s="909">
        <v>0.749</v>
      </c>
      <c r="AX153" s="909">
        <v>0.76100000000000001</v>
      </c>
      <c r="AY153" s="586">
        <f>+AY85/AY60</f>
        <v>0.95529834254143686</v>
      </c>
      <c r="AZ153" s="1020">
        <v>0.79700000000000004</v>
      </c>
      <c r="BA153" s="909">
        <v>0.93799999999999994</v>
      </c>
      <c r="BB153" s="909">
        <v>0.935</v>
      </c>
      <c r="BC153" s="909">
        <v>0.78600000000000003</v>
      </c>
      <c r="BD153" s="586">
        <f>+BD85/BD60</f>
        <v>0.64039841269841224</v>
      </c>
      <c r="BE153" s="1020">
        <v>0.82</v>
      </c>
      <c r="BF153" s="909">
        <v>0.85599999999999998</v>
      </c>
      <c r="BG153" s="909">
        <v>0.92</v>
      </c>
      <c r="BH153" s="910">
        <v>0.96199999999999997</v>
      </c>
      <c r="BI153" s="586">
        <f t="shared" si="582" ref="BI153:BR153">+BI85/BI60</f>
        <v>0.64499999999999991</v>
      </c>
      <c r="BJ153" s="1018">
        <f t="shared" si="582"/>
        <v>0.85569063957035563</v>
      </c>
      <c r="BK153" s="586">
        <f t="shared" si="582"/>
        <v>0.645</v>
      </c>
      <c r="BL153" s="586">
        <f t="shared" si="582"/>
        <v>0.645</v>
      </c>
      <c r="BM153" s="586">
        <f t="shared" si="582"/>
        <v>0.645</v>
      </c>
      <c r="BN153" s="586">
        <f t="shared" si="582"/>
        <v>0.645</v>
      </c>
      <c r="BO153" s="1018">
        <f t="shared" si="582"/>
        <v>0.64499999999999991</v>
      </c>
      <c r="BP153" s="1018">
        <f t="shared" si="582"/>
        <v>0.64499999999999991</v>
      </c>
      <c r="BQ153" s="1018">
        <f t="shared" si="582"/>
        <v>0.645</v>
      </c>
      <c r="BR153" s="1018">
        <f t="shared" si="582"/>
        <v>0.645</v>
      </c>
      <c r="BS153" s="47"/>
    </row>
    <row r="154" spans="1:71" s="24" customFormat="1" ht="15">
      <c r="A154" s="583" t="s">
        <v>852</v>
      </c>
      <c r="B154" s="231"/>
      <c r="C154" s="1011"/>
      <c r="D154" s="1011"/>
      <c r="E154" s="1011"/>
      <c r="F154" s="1011"/>
      <c r="G154" s="1011"/>
      <c r="H154" s="130"/>
      <c r="I154" s="130"/>
      <c r="J154" s="130"/>
      <c r="K154" s="130"/>
      <c r="L154" s="1011"/>
      <c r="M154" s="130"/>
      <c r="N154" s="130"/>
      <c r="O154" s="130"/>
      <c r="P154" s="130"/>
      <c r="Q154" s="1011">
        <f t="shared" si="583" ref="Q154">+Q156-Q155</f>
        <v>0.71899999999999997</v>
      </c>
      <c r="R154" s="130">
        <f t="shared" si="584" ref="R154">+R156-R155</f>
        <v>0.67300000000000004</v>
      </c>
      <c r="S154" s="130">
        <f t="shared" si="585" ref="S154">+S156-S155</f>
        <v>0.77899999999999991</v>
      </c>
      <c r="T154" s="130">
        <f t="shared" si="586" ref="T154">+T156-T155</f>
        <v>0.72399999999999998</v>
      </c>
      <c r="U154" s="130">
        <f>+U86/U61</f>
        <v>0.7782926829268294</v>
      </c>
      <c r="V154" s="1011">
        <f t="shared" si="587" ref="V154">+V156-V155</f>
        <v>0.73799999999999999</v>
      </c>
      <c r="W154" s="130">
        <f t="shared" si="588" ref="W154">+W156-W155</f>
        <v>0.68799999999999994</v>
      </c>
      <c r="X154" s="130">
        <f t="shared" si="589" ref="X154">+X156-X155</f>
        <v>0.73799999999999999</v>
      </c>
      <c r="Y154" s="130">
        <f t="shared" si="590" ref="Y154">+Y156-Y155</f>
        <v>0.66199999999999992</v>
      </c>
      <c r="Z154" s="130">
        <f>+Z86/Z61</f>
        <v>0.58588281249999974</v>
      </c>
      <c r="AA154" s="1011">
        <f t="shared" si="591" ref="AA154">+AA156-AA155</f>
        <v>0.66699999999999993</v>
      </c>
      <c r="AB154" s="130">
        <f t="shared" si="592" ref="AB154">+AB156-AB155</f>
        <v>0.625</v>
      </c>
      <c r="AC154" s="130">
        <f t="shared" si="593" ref="AC154">+AC156-AC155</f>
        <v>0.70299999999999996</v>
      </c>
      <c r="AD154" s="130">
        <f t="shared" si="594" ref="AD154">+AD156-AD155</f>
        <v>0.77300000000000002</v>
      </c>
      <c r="AE154" s="130">
        <f>+AE86/AE61</f>
        <v>0.73385955056179752</v>
      </c>
      <c r="AF154" s="1011">
        <f t="shared" si="595" ref="AF154">+AF156-AF155</f>
        <v>0.71399999999999997</v>
      </c>
      <c r="AG154" s="130">
        <f t="shared" si="596" ref="AG154">+AG156-AG155</f>
        <v>0.73899999999999999</v>
      </c>
      <c r="AH154" s="130">
        <f t="shared" si="597" ref="AH154">+AH156-AH155</f>
        <v>0.78799999999999992</v>
      </c>
      <c r="AI154" s="130">
        <f t="shared" si="598" ref="AI154">+AI156-AI155</f>
        <v>0.83</v>
      </c>
      <c r="AJ154" s="130">
        <f>+AJ86/AJ61</f>
        <v>0.75796202531645518</v>
      </c>
      <c r="AK154" s="1011">
        <f t="shared" si="599" ref="AK154">+AK156-AK155</f>
        <v>0.78099999999999992</v>
      </c>
      <c r="AL154" s="130">
        <f t="shared" si="600" ref="AL154">+AL156-AL155</f>
        <v>0.74199999999999999</v>
      </c>
      <c r="AM154" s="130">
        <f t="shared" si="601" ref="AM154">+AM156-AM155</f>
        <v>0.58399999999999996</v>
      </c>
      <c r="AN154" s="130">
        <f t="shared" si="602" ref="AN154">+AN156-AN155</f>
        <v>0.77</v>
      </c>
      <c r="AO154" s="130">
        <f>+AO86/AO61</f>
        <v>0.83119806763284998</v>
      </c>
      <c r="AP154" s="1011">
        <f t="shared" si="603" ref="AP154">+AP156-AP155</f>
        <v>0.73999999999999988</v>
      </c>
      <c r="AQ154" s="130">
        <f t="shared" si="604" ref="AQ154">+AQ156-AQ155</f>
        <v>0.65300000000000002</v>
      </c>
      <c r="AR154" s="130">
        <f t="shared" si="605" ref="AR154">+AR156-AR155</f>
        <v>0.78</v>
      </c>
      <c r="AS154" s="130">
        <f t="shared" si="606" ref="AS154">+AS156-AS155</f>
        <v>0.8670000000000001</v>
      </c>
      <c r="AT154" s="130">
        <f>+AT86/AT61</f>
        <v>0.86973839662447228</v>
      </c>
      <c r="AU154" s="1011">
        <f>+AU156-AU155</f>
        <v>0.79799999999999993</v>
      </c>
      <c r="AV154" s="130">
        <f>+AV156-AV155</f>
        <v>0.81</v>
      </c>
      <c r="AW154" s="130">
        <f>+AW156-AW155</f>
        <v>0.93199999999999983</v>
      </c>
      <c r="AX154" s="130">
        <f>+AX156-AX155</f>
        <v>0.95199999999999996</v>
      </c>
      <c r="AY154" s="130">
        <f>+AY86/AY61</f>
        <v>1.0874738955823291</v>
      </c>
      <c r="AZ154" s="1011">
        <f>+AZ156-AZ155</f>
        <v>0.94099999999999995</v>
      </c>
      <c r="BA154" s="130">
        <f>+BA156-BA155</f>
        <v>0.876</v>
      </c>
      <c r="BB154" s="130">
        <f>+BB156-BB155</f>
        <v>0.96500000000000008</v>
      </c>
      <c r="BC154" s="130">
        <f>+BC156-BC155</f>
        <v>0.83899999999999997</v>
      </c>
      <c r="BD154" s="130">
        <f>+BD86/BD61</f>
        <v>0.95436612021857925</v>
      </c>
      <c r="BE154" s="1017">
        <f>+BE156-BE155</f>
        <v>0.90700000000000003</v>
      </c>
      <c r="BF154" s="47">
        <f>+BF156-BF155</f>
        <v>0.86299999999999977</v>
      </c>
      <c r="BG154" s="130">
        <f>+BG156-BG155</f>
        <v>0.89100000000000001</v>
      </c>
      <c r="BH154" s="748">
        <f>+BH156-BH155</f>
        <v>0.78799999999999992</v>
      </c>
      <c r="BI154" s="905">
        <v>0.80</v>
      </c>
      <c r="BJ154" s="1011">
        <f>+BJ86/BJ61</f>
        <v>0.83419262942837491</v>
      </c>
      <c r="BK154" s="905">
        <v>0.80</v>
      </c>
      <c r="BL154" s="905">
        <v>0.75</v>
      </c>
      <c r="BM154" s="905">
        <v>0.80</v>
      </c>
      <c r="BN154" s="905">
        <v>0.80</v>
      </c>
      <c r="BO154" s="1011">
        <f>+BO86/BO61</f>
        <v>0.7868843823507683</v>
      </c>
      <c r="BP154" s="1012">
        <v>0.75</v>
      </c>
      <c r="BQ154" s="1012">
        <v>0.75</v>
      </c>
      <c r="BR154" s="1012">
        <v>0.75</v>
      </c>
      <c r="BS154" s="47"/>
    </row>
    <row r="155" spans="1:71" s="24" customFormat="1" ht="15">
      <c r="A155" s="583" t="s">
        <v>853</v>
      </c>
      <c r="B155" s="231"/>
      <c r="C155" s="1011"/>
      <c r="D155" s="1011"/>
      <c r="E155" s="1011"/>
      <c r="F155" s="1011"/>
      <c r="G155" s="1011"/>
      <c r="H155" s="130"/>
      <c r="I155" s="130"/>
      <c r="J155" s="130"/>
      <c r="K155" s="130"/>
      <c r="L155" s="1011"/>
      <c r="M155" s="130"/>
      <c r="N155" s="130"/>
      <c r="O155" s="130"/>
      <c r="P155" s="130"/>
      <c r="Q155" s="1012">
        <v>0.050999999999999997</v>
      </c>
      <c r="R155" s="905">
        <v>0.070000000000000007</v>
      </c>
      <c r="S155" s="905">
        <v>0.095</v>
      </c>
      <c r="T155" s="905">
        <v>0.055</v>
      </c>
      <c r="U155" s="130">
        <f>+U87/U61</f>
        <v>0.055560975609756126</v>
      </c>
      <c r="V155" s="1012">
        <v>0.069000000000000006</v>
      </c>
      <c r="W155" s="905">
        <v>0.056000000000000001</v>
      </c>
      <c r="X155" s="905">
        <v>0.017000000000000001</v>
      </c>
      <c r="Y155" s="905">
        <v>0.105</v>
      </c>
      <c r="Z155" s="130">
        <f>+Z87/Z61</f>
        <v>0.013546875000000014</v>
      </c>
      <c r="AA155" s="1012">
        <v>0.048000000000000001</v>
      </c>
      <c r="AB155" s="905">
        <v>0.021999999999999999</v>
      </c>
      <c r="AC155" s="905">
        <v>0.024</v>
      </c>
      <c r="AD155" s="905">
        <v>0.034000000000000002</v>
      </c>
      <c r="AE155" s="130">
        <f>+AE87/AE61</f>
        <v>0.052438202247191028</v>
      </c>
      <c r="AF155" s="1012">
        <v>0.034000000000000002</v>
      </c>
      <c r="AG155" s="905">
        <v>0.005</v>
      </c>
      <c r="AH155" s="905">
        <v>0.017999999999999999</v>
      </c>
      <c r="AI155" s="905">
        <v>0.0089999999999999993</v>
      </c>
      <c r="AJ155" s="130">
        <f>+AJ87/AJ61</f>
        <v>0.022113924050632918</v>
      </c>
      <c r="AK155" s="1012">
        <v>0.014</v>
      </c>
      <c r="AL155" s="905">
        <v>0.0089999999999999993</v>
      </c>
      <c r="AM155" s="905">
        <v>0.057000000000000002</v>
      </c>
      <c r="AN155" s="905">
        <v>0.066000000000000003</v>
      </c>
      <c r="AO155" s="130">
        <f>+AO87/AO61</f>
        <v>0.018077294685990342</v>
      </c>
      <c r="AP155" s="1012">
        <v>0.035000000000000003</v>
      </c>
      <c r="AQ155" s="905">
        <v>0.042000000000000003</v>
      </c>
      <c r="AR155" s="905">
        <v>0.035999999999999997</v>
      </c>
      <c r="AS155" s="905">
        <v>0.049000000000000002</v>
      </c>
      <c r="AT155" s="130">
        <f>+AT87/AT61</f>
        <v>-0.0044261603375527403</v>
      </c>
      <c r="AU155" s="1012">
        <v>0.029000000000000001</v>
      </c>
      <c r="AV155" s="905">
        <v>0</v>
      </c>
      <c r="AW155" s="905">
        <v>0.027</v>
      </c>
      <c r="AX155" s="905">
        <v>0.034000000000000002</v>
      </c>
      <c r="AY155" s="130">
        <f>+AY87/AY61</f>
        <v>0.04034538152610443</v>
      </c>
      <c r="AZ155" s="1012">
        <v>0.025</v>
      </c>
      <c r="BA155" s="905">
        <v>0.039</v>
      </c>
      <c r="BB155" s="905">
        <v>0.04</v>
      </c>
      <c r="BC155" s="905">
        <v>0.051999999999999998</v>
      </c>
      <c r="BD155" s="130">
        <f>+BD87/BD61</f>
        <v>0.015251366120218561</v>
      </c>
      <c r="BE155" s="1012">
        <v>0.036999999999999998</v>
      </c>
      <c r="BF155" s="905">
        <v>0.0060000000000000001</v>
      </c>
      <c r="BG155" s="905">
        <v>0.032000000000000001</v>
      </c>
      <c r="BH155" s="907">
        <v>0.052999999999999999</v>
      </c>
      <c r="BI155" s="905">
        <v>0.05</v>
      </c>
      <c r="BJ155" s="1011">
        <f>+BJ87/BJ61</f>
        <v>0.035524879619495971</v>
      </c>
      <c r="BK155" s="905">
        <v>0.05</v>
      </c>
      <c r="BL155" s="905">
        <v>0.05</v>
      </c>
      <c r="BM155" s="905">
        <v>0.05</v>
      </c>
      <c r="BN155" s="905">
        <v>0.05</v>
      </c>
      <c r="BO155" s="1011">
        <f>+BO87/BO61</f>
        <v>0.05</v>
      </c>
      <c r="BP155" s="1012">
        <v>0.05000000000000001</v>
      </c>
      <c r="BQ155" s="1012">
        <v>0.05000000000000001</v>
      </c>
      <c r="BR155" s="1012">
        <v>0.05000000000000001</v>
      </c>
      <c r="BS155" s="47"/>
    </row>
    <row r="156" spans="1:71" s="24" customFormat="1" ht="15">
      <c r="A156" s="587" t="s">
        <v>854</v>
      </c>
      <c r="B156" s="584"/>
      <c r="C156" s="1018"/>
      <c r="D156" s="1018"/>
      <c r="E156" s="1018"/>
      <c r="F156" s="1018"/>
      <c r="G156" s="1018"/>
      <c r="H156" s="586"/>
      <c r="I156" s="586"/>
      <c r="J156" s="586"/>
      <c r="K156" s="586"/>
      <c r="L156" s="1018"/>
      <c r="M156" s="586"/>
      <c r="N156" s="586"/>
      <c r="O156" s="586"/>
      <c r="P156" s="586"/>
      <c r="Q156" s="1018">
        <f t="shared" si="607" ref="Q156">+Q159-Q158-Q157</f>
        <v>0.77</v>
      </c>
      <c r="R156" s="586">
        <f t="shared" si="608" ref="R156">+R159-R158-R157</f>
        <v>0.74299999999999999</v>
      </c>
      <c r="S156" s="586">
        <f t="shared" si="609" ref="S156">+S159-S158-S157</f>
        <v>0.87399999999999989</v>
      </c>
      <c r="T156" s="586">
        <f t="shared" si="610" ref="T156">+T159-T158-T157</f>
        <v>0.77900000000000003</v>
      </c>
      <c r="U156" s="586">
        <f t="shared" si="611" ref="U156">+U88/U61</f>
        <v>0.83385365853658555</v>
      </c>
      <c r="V156" s="1018">
        <f t="shared" si="612" ref="V156">+V159-V158-V157</f>
        <v>0.80699999999999994</v>
      </c>
      <c r="W156" s="586">
        <f t="shared" si="613" ref="W156">+W159-W158-W157</f>
        <v>0.74399999999999999</v>
      </c>
      <c r="X156" s="586">
        <f t="shared" si="614" ref="X156">+X159-X158-X157</f>
        <v>0.755</v>
      </c>
      <c r="Y156" s="586">
        <f t="shared" si="615" ref="Y156">+Y159-Y158-Y157</f>
        <v>0.7669999999999999</v>
      </c>
      <c r="Z156" s="586">
        <f t="shared" si="616" ref="Z156">+Z88/Z61</f>
        <v>0.59942968749999981</v>
      </c>
      <c r="AA156" s="1018">
        <f t="shared" si="617" ref="AA156">+AA159-AA158-AA157</f>
        <v>0.715</v>
      </c>
      <c r="AB156" s="586">
        <f t="shared" si="618" ref="AB156">+AB159-AB158-AB157</f>
        <v>0.64700000000000002</v>
      </c>
      <c r="AC156" s="586">
        <f t="shared" si="619" ref="AC156">+AC159-AC158-AC157</f>
        <v>0.72699999999999998</v>
      </c>
      <c r="AD156" s="586">
        <f t="shared" si="620" ref="AD156">+AD159-AD158-AD157</f>
        <v>0.80700000000000005</v>
      </c>
      <c r="AE156" s="586">
        <f t="shared" si="621" ref="AE156">+AE88/AE61</f>
        <v>0.7862977528089885</v>
      </c>
      <c r="AF156" s="1018">
        <f t="shared" si="622" ref="AF156">+AF159-AF158-AF157</f>
        <v>0.748</v>
      </c>
      <c r="AG156" s="586">
        <f t="shared" si="623" ref="AG156">+AG159-AG158-AG157</f>
        <v>0.74399999999999999</v>
      </c>
      <c r="AH156" s="586">
        <f t="shared" si="624" ref="AH156">+AH159-AH158-AH157</f>
        <v>0.80599999999999994</v>
      </c>
      <c r="AI156" s="586">
        <f t="shared" si="625" ref="AI156">+AI159-AI158-AI157</f>
        <v>0.83899999999999997</v>
      </c>
      <c r="AJ156" s="586">
        <f t="shared" si="626" ref="AJ156">+AJ88/AJ61</f>
        <v>0.78007594936708824</v>
      </c>
      <c r="AK156" s="1018">
        <f t="shared" si="627" ref="AK156">+AK159-AK158-AK157</f>
        <v>0.795</v>
      </c>
      <c r="AL156" s="586">
        <f t="shared" si="628" ref="AL156">+AL159-AL158-AL157</f>
        <v>0.751</v>
      </c>
      <c r="AM156" s="586">
        <f t="shared" si="629" ref="AM156">+AM159-AM158-AM157</f>
        <v>0.64100000000000001</v>
      </c>
      <c r="AN156" s="586">
        <f t="shared" si="630" ref="AN156">+AN159-AN158-AN157</f>
        <v>0.83599999999999997</v>
      </c>
      <c r="AO156" s="586">
        <f t="shared" si="631" ref="AO156">+AO88/AO61</f>
        <v>0.84927536231884027</v>
      </c>
      <c r="AP156" s="1018">
        <f t="shared" si="632" ref="AP156">+AP159-AP158-AP157</f>
        <v>0.77499999999999991</v>
      </c>
      <c r="AQ156" s="586">
        <f t="shared" si="633" ref="AQ156">+AQ159-AQ158-AQ157</f>
        <v>0.695</v>
      </c>
      <c r="AR156" s="586">
        <f t="shared" si="634" ref="AR156">+AR159-AR158-AR157</f>
        <v>0.81600000000000006</v>
      </c>
      <c r="AS156" s="586">
        <f t="shared" si="635" ref="AS156">+AS159-AS158-AS157</f>
        <v>0.91600000000000015</v>
      </c>
      <c r="AT156" s="586">
        <f t="shared" si="636" ref="AT156">+AT88/AT61</f>
        <v>0.86531223628691956</v>
      </c>
      <c r="AU156" s="1018">
        <f>+AU159-AU158-AU157</f>
        <v>0.82699999999999996</v>
      </c>
      <c r="AV156" s="586">
        <f>+AV159-AV158-AV157</f>
        <v>0.81</v>
      </c>
      <c r="AW156" s="586">
        <f>+AW159-AW158-AW157</f>
        <v>0.95899999999999985</v>
      </c>
      <c r="AX156" s="586">
        <f>+AX159-AX158-AX157</f>
        <v>0.98599999999999999</v>
      </c>
      <c r="AY156" s="586">
        <f t="shared" si="637" ref="AY156">+AY88/AY61</f>
        <v>1.1278192771084334</v>
      </c>
      <c r="AZ156" s="1018">
        <f>+AZ159-AZ158-AZ157</f>
        <v>0.96599999999999997</v>
      </c>
      <c r="BA156" s="586">
        <f>+BA159-BA158-BA157</f>
        <v>0.915</v>
      </c>
      <c r="BB156" s="586">
        <f>+BB159-BB158-BB157</f>
        <v>1.0050000000000001</v>
      </c>
      <c r="BC156" s="586">
        <f>+BC159-BC158-BC157</f>
        <v>0.89100000000000001</v>
      </c>
      <c r="BD156" s="586">
        <f>+BD88/BD61</f>
        <v>0.96961748633879785</v>
      </c>
      <c r="BE156" s="1019">
        <f>+BE159-BE158-BE157</f>
        <v>0.94400000000000006</v>
      </c>
      <c r="BF156" s="799">
        <f>+BF159-BF158-BF157</f>
        <v>0.86899999999999977</v>
      </c>
      <c r="BG156" s="586">
        <f>+BG159-BG158-BG157</f>
        <v>0.92300000000000004</v>
      </c>
      <c r="BH156" s="801">
        <f>+BH159-BH158-BH157</f>
        <v>0.84099999999999997</v>
      </c>
      <c r="BI156" s="586">
        <f t="shared" si="638" ref="BI156:BR156">+BI88/BI61</f>
        <v>0.85000000000000009</v>
      </c>
      <c r="BJ156" s="1018">
        <f t="shared" si="638"/>
        <v>0.86971750904787082</v>
      </c>
      <c r="BK156" s="586">
        <f t="shared" si="638"/>
        <v>0.85000000000000009</v>
      </c>
      <c r="BL156" s="586">
        <f t="shared" si="638"/>
        <v>0.80</v>
      </c>
      <c r="BM156" s="586">
        <f t="shared" si="638"/>
        <v>0.85000000000000009</v>
      </c>
      <c r="BN156" s="586">
        <f t="shared" si="638"/>
        <v>0.85000000000000009</v>
      </c>
      <c r="BO156" s="1018">
        <f t="shared" si="638"/>
        <v>0.83688438235076834</v>
      </c>
      <c r="BP156" s="1018">
        <f t="shared" si="638"/>
        <v>0.80</v>
      </c>
      <c r="BQ156" s="1018">
        <f t="shared" si="638"/>
        <v>0.80</v>
      </c>
      <c r="BR156" s="1018">
        <f t="shared" si="638"/>
        <v>0.80</v>
      </c>
      <c r="BS156" s="47"/>
    </row>
    <row r="157" spans="1:71" s="24" customFormat="1" ht="15">
      <c r="A157" s="494" t="s">
        <v>855</v>
      </c>
      <c r="B157" s="231"/>
      <c r="C157" s="1011"/>
      <c r="D157" s="1011"/>
      <c r="E157" s="1011"/>
      <c r="F157" s="1011"/>
      <c r="G157" s="1011"/>
      <c r="H157" s="130"/>
      <c r="I157" s="130"/>
      <c r="J157" s="130"/>
      <c r="K157" s="130"/>
      <c r="L157" s="1011"/>
      <c r="M157" s="130"/>
      <c r="N157" s="130"/>
      <c r="O157" s="130"/>
      <c r="P157" s="130"/>
      <c r="Q157" s="1012">
        <v>0.0040000000000000001</v>
      </c>
      <c r="R157" s="905">
        <v>0.155</v>
      </c>
      <c r="S157" s="905">
        <v>0.18099999999999999</v>
      </c>
      <c r="T157" s="905">
        <v>0.10299999999999999</v>
      </c>
      <c r="U157" s="130">
        <f>+U89/U61</f>
        <v>0.046089430894308919</v>
      </c>
      <c r="V157" s="1012">
        <v>0.122</v>
      </c>
      <c r="W157" s="905">
        <v>0.016</v>
      </c>
      <c r="X157" s="905">
        <v>-0.017000000000000001</v>
      </c>
      <c r="Y157" s="905">
        <v>0.056000000000000001</v>
      </c>
      <c r="Z157" s="130">
        <f>+Z89/Z61</f>
        <v>0.092749999999999999</v>
      </c>
      <c r="AA157" s="1012">
        <v>0.037999999999999999</v>
      </c>
      <c r="AB157" s="905">
        <v>0.14699999999999999</v>
      </c>
      <c r="AC157" s="905">
        <v>0.27300000000000002</v>
      </c>
      <c r="AD157" s="905">
        <v>0.23899999999999999</v>
      </c>
      <c r="AE157" s="130">
        <f>+AE89/AE61</f>
        <v>0.0054719101123595713</v>
      </c>
      <c r="AF157" s="1012">
        <v>0.165</v>
      </c>
      <c r="AG157" s="905">
        <v>0.021999999999999999</v>
      </c>
      <c r="AH157" s="905">
        <v>0.057000000000000002</v>
      </c>
      <c r="AI157" s="905">
        <v>0</v>
      </c>
      <c r="AJ157" s="130">
        <f>+AJ89/AJ61</f>
        <v>-0.0006329113924050723</v>
      </c>
      <c r="AK157" s="1012">
        <v>0.019</v>
      </c>
      <c r="AL157" s="905">
        <v>0.028000000000000001</v>
      </c>
      <c r="AM157" s="905">
        <v>0.13200000000000001</v>
      </c>
      <c r="AN157" s="905">
        <v>0.010999999999999999</v>
      </c>
      <c r="AO157" s="130">
        <f>+AO89/AO61</f>
        <v>0.033545893719806777</v>
      </c>
      <c r="AP157" s="1012">
        <v>0.047</v>
      </c>
      <c r="AQ157" s="905">
        <v>0.079000000000000001</v>
      </c>
      <c r="AR157" s="905">
        <v>0.091999999999999998</v>
      </c>
      <c r="AS157" s="905">
        <v>0.123</v>
      </c>
      <c r="AT157" s="130">
        <f>+AT89/AT61</f>
        <v>0.25718987341772148</v>
      </c>
      <c r="AU157" s="1012">
        <v>0.14399999999999999</v>
      </c>
      <c r="AV157" s="905">
        <v>0.067000000000000004</v>
      </c>
      <c r="AW157" s="905">
        <v>0.312</v>
      </c>
      <c r="AX157" s="905">
        <v>0.216</v>
      </c>
      <c r="AY157" s="130">
        <f>+AY89/AY61</f>
        <v>0.38887148594377513</v>
      </c>
      <c r="AZ157" s="1012">
        <v>0.24199999999999999</v>
      </c>
      <c r="BA157" s="905">
        <v>0.10299999999999999</v>
      </c>
      <c r="BB157" s="905">
        <v>0.039</v>
      </c>
      <c r="BC157" s="905">
        <v>0.098000000000000004</v>
      </c>
      <c r="BD157" s="130">
        <f>+BD89/BD61</f>
        <v>0.18337704918032782</v>
      </c>
      <c r="BE157" s="1012">
        <v>0.104</v>
      </c>
      <c r="BF157" s="905">
        <v>0.30199999999999999</v>
      </c>
      <c r="BG157" s="905">
        <v>0.67700000000000005</v>
      </c>
      <c r="BH157" s="907">
        <v>0.0070000000000000001</v>
      </c>
      <c r="BI157" s="905">
        <v>0.05</v>
      </c>
      <c r="BJ157" s="1011">
        <f>+BJ89/BJ61</f>
        <v>0.24909145677717567</v>
      </c>
      <c r="BK157" s="905">
        <v>0.05</v>
      </c>
      <c r="BL157" s="905">
        <v>0.05</v>
      </c>
      <c r="BM157" s="905">
        <v>0.05</v>
      </c>
      <c r="BN157" s="905">
        <v>0.05</v>
      </c>
      <c r="BO157" s="1011">
        <f>+BO89/BO61</f>
        <v>0.05</v>
      </c>
      <c r="BP157" s="1012">
        <v>0.05000000000000001</v>
      </c>
      <c r="BQ157" s="1012">
        <v>0.05000000000000001</v>
      </c>
      <c r="BR157" s="1012">
        <v>0.05000000000000001</v>
      </c>
      <c r="BS157" s="47"/>
    </row>
    <row r="158" spans="1:71" s="24" customFormat="1" ht="15">
      <c r="A158" s="494" t="s">
        <v>856</v>
      </c>
      <c r="B158" s="231"/>
      <c r="C158" s="1011"/>
      <c r="D158" s="1011"/>
      <c r="E158" s="1011"/>
      <c r="F158" s="1011"/>
      <c r="G158" s="1011"/>
      <c r="H158" s="130"/>
      <c r="I158" s="130"/>
      <c r="J158" s="130"/>
      <c r="K158" s="130"/>
      <c r="L158" s="1011"/>
      <c r="M158" s="130"/>
      <c r="N158" s="130"/>
      <c r="O158" s="130"/>
      <c r="P158" s="130"/>
      <c r="Q158" s="1012">
        <v>0.01</v>
      </c>
      <c r="R158" s="905">
        <v>0.024</v>
      </c>
      <c r="S158" s="905">
        <v>0.0080000000000000002</v>
      </c>
      <c r="T158" s="905">
        <v>0</v>
      </c>
      <c r="U158" s="130">
        <f>+U90/U61</f>
        <v>0.0077073170731707351</v>
      </c>
      <c r="V158" s="1012">
        <v>0.01</v>
      </c>
      <c r="W158" s="905">
        <v>0.0080000000000000002</v>
      </c>
      <c r="X158" s="905">
        <v>-0.0089999999999999993</v>
      </c>
      <c r="Y158" s="905">
        <v>0.0080000000000000002</v>
      </c>
      <c r="Z158" s="130">
        <f>+Z90/Z61</f>
        <v>0.00046874999999999868</v>
      </c>
      <c r="AA158" s="1012">
        <v>0.002</v>
      </c>
      <c r="AB158" s="905">
        <v>-0.0070000000000000001</v>
      </c>
      <c r="AC158" s="905">
        <v>0.0060000000000000001</v>
      </c>
      <c r="AD158" s="905">
        <v>0</v>
      </c>
      <c r="AE158" s="130">
        <f>+AE90/AE61</f>
        <v>-0.00021348314606741529</v>
      </c>
      <c r="AF158" s="1012">
        <v>0</v>
      </c>
      <c r="AG158" s="905">
        <v>-0.0060000000000000001</v>
      </c>
      <c r="AH158" s="905">
        <v>0.0040000000000000001</v>
      </c>
      <c r="AI158" s="905">
        <v>-0.0040000000000000001</v>
      </c>
      <c r="AJ158" s="130">
        <f>+AJ90/AJ61</f>
        <v>0.0010801687763713084</v>
      </c>
      <c r="AK158" s="1012">
        <v>-0.001</v>
      </c>
      <c r="AL158" s="905">
        <v>0.005</v>
      </c>
      <c r="AM158" s="905">
        <v>0.012999999999999999</v>
      </c>
      <c r="AN158" s="905">
        <v>-0.010999999999999999</v>
      </c>
      <c r="AO158" s="130">
        <f>+AO90/AO61</f>
        <v>0.0018840579710144923</v>
      </c>
      <c r="AP158" s="1012">
        <v>0.002</v>
      </c>
      <c r="AQ158" s="905">
        <v>0.01</v>
      </c>
      <c r="AR158" s="905">
        <v>0</v>
      </c>
      <c r="AS158" s="905">
        <v>0.005</v>
      </c>
      <c r="AT158" s="130">
        <f>+AT90/AT61</f>
        <v>0.0016371308016877651</v>
      </c>
      <c r="AU158" s="1012">
        <v>0.0040000000000000001</v>
      </c>
      <c r="AV158" s="905">
        <v>-0.0040000000000000001</v>
      </c>
      <c r="AW158" s="905">
        <v>0</v>
      </c>
      <c r="AX158" s="905">
        <v>0.0040000000000000001</v>
      </c>
      <c r="AY158" s="130">
        <f>+AY90/AY61</f>
        <v>-0.0047188755020080315</v>
      </c>
      <c r="AZ158" s="1012">
        <v>-0.001</v>
      </c>
      <c r="BA158" s="905">
        <v>0.0040000000000000001</v>
      </c>
      <c r="BB158" s="905">
        <v>0.01</v>
      </c>
      <c r="BC158" s="905">
        <v>0.031</v>
      </c>
      <c r="BD158" s="130">
        <f>+BD90/BD61</f>
        <v>-0.0046557377049180346</v>
      </c>
      <c r="BE158" s="1012">
        <v>0.01</v>
      </c>
      <c r="BF158" s="905">
        <v>-0.017000000000000001</v>
      </c>
      <c r="BG158" s="905">
        <v>-0.012</v>
      </c>
      <c r="BH158" s="907">
        <v>0</v>
      </c>
      <c r="BI158" s="905">
        <v>0.005</v>
      </c>
      <c r="BJ158" s="1011">
        <f>+BJ90/BJ61</f>
        <v>-0.0055451701235400778</v>
      </c>
      <c r="BK158" s="905">
        <v>0.005</v>
      </c>
      <c r="BL158" s="905">
        <v>0.005</v>
      </c>
      <c r="BM158" s="905">
        <v>0.005</v>
      </c>
      <c r="BN158" s="905">
        <v>0.005</v>
      </c>
      <c r="BO158" s="1011">
        <f>+BO90/BO61</f>
        <v>0.0049999999999999992</v>
      </c>
      <c r="BP158" s="1012">
        <v>0.005</v>
      </c>
      <c r="BQ158" s="1012">
        <v>0.005</v>
      </c>
      <c r="BR158" s="1012">
        <v>0.005</v>
      </c>
      <c r="BS158" s="47"/>
    </row>
    <row r="159" spans="1:71" s="24" customFormat="1" ht="15">
      <c r="A159" s="584" t="s">
        <v>767</v>
      </c>
      <c r="B159" s="584"/>
      <c r="C159" s="1018"/>
      <c r="D159" s="1018"/>
      <c r="E159" s="1018"/>
      <c r="F159" s="1018"/>
      <c r="G159" s="1018"/>
      <c r="H159" s="586"/>
      <c r="I159" s="586"/>
      <c r="J159" s="586"/>
      <c r="K159" s="586">
        <f>K91/K61</f>
        <v>0</v>
      </c>
      <c r="L159" s="1018"/>
      <c r="M159" s="586"/>
      <c r="N159" s="586"/>
      <c r="O159" s="586"/>
      <c r="P159" s="586"/>
      <c r="Q159" s="1020">
        <v>0.78400000000000003</v>
      </c>
      <c r="R159" s="909">
        <v>0.92200000000000004</v>
      </c>
      <c r="S159" s="909">
        <v>1.0629999999999999</v>
      </c>
      <c r="T159" s="909">
        <v>0.88200000000000001</v>
      </c>
      <c r="U159" s="586">
        <f>+U91/U61</f>
        <v>0.88765040650406513</v>
      </c>
      <c r="V159" s="1020">
        <v>0.93899999999999995</v>
      </c>
      <c r="W159" s="909">
        <v>0.76800000000000002</v>
      </c>
      <c r="X159" s="909">
        <v>0.72899999999999998</v>
      </c>
      <c r="Y159" s="909">
        <v>0.83099999999999996</v>
      </c>
      <c r="Z159" s="586">
        <f>+Z91/Z61</f>
        <v>0.69264843749999983</v>
      </c>
      <c r="AA159" s="1020">
        <v>0.755</v>
      </c>
      <c r="AB159" s="909">
        <v>0.78700000000000003</v>
      </c>
      <c r="AC159" s="909">
        <v>1.006</v>
      </c>
      <c r="AD159" s="909">
        <v>1.046</v>
      </c>
      <c r="AE159" s="586">
        <f>+AE91/AE61</f>
        <v>0.79155617977528048</v>
      </c>
      <c r="AF159" s="1020">
        <v>0.91300000000000003</v>
      </c>
      <c r="AG159" s="909">
        <v>0.76</v>
      </c>
      <c r="AH159" s="909">
        <v>0.86699999999999999</v>
      </c>
      <c r="AI159" s="909">
        <v>0.835</v>
      </c>
      <c r="AJ159" s="586">
        <f>+AJ91/AJ61</f>
        <v>0.78052320675105435</v>
      </c>
      <c r="AK159" s="1020">
        <v>0.81299999999999994</v>
      </c>
      <c r="AL159" s="909">
        <v>0.78400000000000003</v>
      </c>
      <c r="AM159" s="909">
        <v>0.78600000000000003</v>
      </c>
      <c r="AN159" s="909">
        <v>0.83599999999999997</v>
      </c>
      <c r="AO159" s="586">
        <f>+AO91/AO61</f>
        <v>0.88470531400966135</v>
      </c>
      <c r="AP159" s="1020">
        <v>0.82399999999999995</v>
      </c>
      <c r="AQ159" s="909">
        <v>0.78400000000000003</v>
      </c>
      <c r="AR159" s="909">
        <v>0.90800000000000003</v>
      </c>
      <c r="AS159" s="909">
        <v>1.044</v>
      </c>
      <c r="AT159" s="586">
        <f>+AT91/AT61</f>
        <v>1.1241392405063286</v>
      </c>
      <c r="AU159" s="1020">
        <v>0.975</v>
      </c>
      <c r="AV159" s="909">
        <v>0.873</v>
      </c>
      <c r="AW159" s="909">
        <v>1.2709999999999999</v>
      </c>
      <c r="AX159" s="909">
        <v>1.206</v>
      </c>
      <c r="AY159" s="586">
        <f>+AY91/AY61</f>
        <v>1.5119718875502006</v>
      </c>
      <c r="AZ159" s="1020">
        <v>1.2070000000000001</v>
      </c>
      <c r="BA159" s="909">
        <v>1.022</v>
      </c>
      <c r="BB159" s="909">
        <v>1.054</v>
      </c>
      <c r="BC159" s="909">
        <v>1.02</v>
      </c>
      <c r="BD159" s="586">
        <f>+BD91/BD61</f>
        <v>1.1483387978142077</v>
      </c>
      <c r="BE159" s="1020">
        <v>1.0580000000000001</v>
      </c>
      <c r="BF159" s="909">
        <v>1.1539999999999999</v>
      </c>
      <c r="BG159" s="909">
        <v>1.5880000000000001</v>
      </c>
      <c r="BH159" s="910">
        <v>0.84799999999999998</v>
      </c>
      <c r="BI159" s="586">
        <f t="shared" si="639" ref="BI159:BR159">+BI91/BI61</f>
        <v>0.90500000000000014</v>
      </c>
      <c r="BJ159" s="1018">
        <f t="shared" si="639"/>
        <v>1.1132637957015064</v>
      </c>
      <c r="BK159" s="586">
        <f t="shared" si="639"/>
        <v>0.905</v>
      </c>
      <c r="BL159" s="586">
        <f t="shared" si="639"/>
        <v>0.855</v>
      </c>
      <c r="BM159" s="586">
        <f t="shared" si="639"/>
        <v>0.90500000000000014</v>
      </c>
      <c r="BN159" s="586">
        <f t="shared" si="639"/>
        <v>0.905</v>
      </c>
      <c r="BO159" s="1018">
        <f t="shared" si="639"/>
        <v>0.89188438235076828</v>
      </c>
      <c r="BP159" s="1018">
        <f t="shared" si="639"/>
        <v>0.855</v>
      </c>
      <c r="BQ159" s="1018">
        <f t="shared" si="639"/>
        <v>0.85499999999999987</v>
      </c>
      <c r="BR159" s="1018">
        <f t="shared" si="639"/>
        <v>0.855</v>
      </c>
      <c r="BS159" s="47"/>
    </row>
    <row r="160" spans="1:71" s="24" customFormat="1" ht="15">
      <c r="A160" s="231" t="s">
        <v>809</v>
      </c>
      <c r="B160" s="231"/>
      <c r="C160" s="1011"/>
      <c r="D160" s="1011"/>
      <c r="E160" s="1011"/>
      <c r="F160" s="1011"/>
      <c r="G160" s="1011"/>
      <c r="H160" s="130"/>
      <c r="I160" s="130"/>
      <c r="J160" s="130"/>
      <c r="K160" s="130"/>
      <c r="L160" s="1011"/>
      <c r="M160" s="130"/>
      <c r="N160" s="130"/>
      <c r="O160" s="130"/>
      <c r="P160" s="130"/>
      <c r="Q160" s="1012">
        <v>0.46899999999999997</v>
      </c>
      <c r="R160" s="130"/>
      <c r="S160" s="130"/>
      <c r="T160" s="130"/>
      <c r="U160" s="130"/>
      <c r="V160" s="1011"/>
      <c r="W160" s="130"/>
      <c r="X160" s="130"/>
      <c r="Y160" s="130"/>
      <c r="Z160" s="130"/>
      <c r="AA160" s="1011"/>
      <c r="AB160" s="130"/>
      <c r="AC160" s="130"/>
      <c r="AD160" s="130"/>
      <c r="AE160" s="130"/>
      <c r="AF160" s="1011"/>
      <c r="AG160" s="130"/>
      <c r="AH160" s="130"/>
      <c r="AI160" s="130"/>
      <c r="AJ160" s="130"/>
      <c r="AK160" s="1011"/>
      <c r="AL160" s="130"/>
      <c r="AM160" s="130"/>
      <c r="AN160" s="130"/>
      <c r="AO160" s="130"/>
      <c r="AP160" s="1011"/>
      <c r="AQ160" s="130"/>
      <c r="AR160" s="130"/>
      <c r="AS160" s="130"/>
      <c r="AT160" s="130"/>
      <c r="AU160" s="1011"/>
      <c r="AV160" s="905">
        <v>0.31</v>
      </c>
      <c r="AW160" s="905">
        <v>0.35</v>
      </c>
      <c r="AX160" s="905">
        <v>0.56699999999999995</v>
      </c>
      <c r="AY160" s="130">
        <f>+AY92/AY62</f>
        <v>0.33166929133858269</v>
      </c>
      <c r="AZ160" s="1012">
        <v>0.395</v>
      </c>
      <c r="BA160" s="905">
        <v>0.43099999999999999</v>
      </c>
      <c r="BB160" s="905">
        <v>0.51600000000000001</v>
      </c>
      <c r="BC160" s="905">
        <v>0.49299999999999999</v>
      </c>
      <c r="BD160" s="130">
        <f>+BD92/BD62</f>
        <v>0.4911517241379309</v>
      </c>
      <c r="BE160" s="1012">
        <v>0.48399999999999999</v>
      </c>
      <c r="BF160" s="905">
        <v>0.443</v>
      </c>
      <c r="BG160" s="905">
        <v>0.49299999999999999</v>
      </c>
      <c r="BH160" s="907">
        <v>0.72399999999999998</v>
      </c>
      <c r="BI160" s="905">
        <v>0.43</v>
      </c>
      <c r="BJ160" s="1011">
        <f>+BJ92/BJ62</f>
        <v>0.52938626226583407</v>
      </c>
      <c r="BK160" s="905">
        <v>0.43</v>
      </c>
      <c r="BL160" s="905">
        <v>0.43</v>
      </c>
      <c r="BM160" s="905">
        <v>0.43</v>
      </c>
      <c r="BN160" s="905">
        <v>0.43</v>
      </c>
      <c r="BO160" s="1011">
        <f>+BO92/BO62</f>
        <v>0.43</v>
      </c>
      <c r="BP160" s="1012">
        <v>0.43</v>
      </c>
      <c r="BQ160" s="1012">
        <v>0.43</v>
      </c>
      <c r="BR160" s="1012">
        <v>0.43</v>
      </c>
      <c r="BS160" s="47"/>
    </row>
    <row r="161" spans="1:71" s="24" customFormat="1" ht="15">
      <c r="A161" s="404" t="s">
        <v>338</v>
      </c>
      <c r="B161" s="489"/>
      <c r="C161" s="1021">
        <v>0.715</v>
      </c>
      <c r="D161" s="1021">
        <v>0.72899999999999998</v>
      </c>
      <c r="E161" s="1021">
        <v>0.77600000000000002</v>
      </c>
      <c r="F161" s="1021">
        <v>0.68899999999999995</v>
      </c>
      <c r="G161" s="1021">
        <v>0.64400000000000002</v>
      </c>
      <c r="H161" s="913">
        <v>0.67400000000000004</v>
      </c>
      <c r="I161" s="913">
        <v>0.71299999999999997</v>
      </c>
      <c r="J161" s="913">
        <v>0.65800000000000003</v>
      </c>
      <c r="K161" s="406">
        <f>K93/K63</f>
        <v>0.64027834765733327</v>
      </c>
      <c r="L161" s="1021">
        <v>0.66800000000000004</v>
      </c>
      <c r="M161" s="913">
        <v>0.67200000000000004</v>
      </c>
      <c r="N161" s="913">
        <v>0.74</v>
      </c>
      <c r="O161" s="913">
        <v>0.68</v>
      </c>
      <c r="P161" s="406">
        <f>P93/P63</f>
        <v>0.66813498476619448</v>
      </c>
      <c r="Q161" s="1021">
        <v>0.68700000000000006</v>
      </c>
      <c r="R161" s="913">
        <v>0.73599999999999999</v>
      </c>
      <c r="S161" s="913">
        <v>0.755</v>
      </c>
      <c r="T161" s="913">
        <v>0.69299999999999995</v>
      </c>
      <c r="U161" s="406">
        <f>U93/U63</f>
        <v>0.66491967509025252</v>
      </c>
      <c r="V161" s="1021">
        <v>0.71199999999999997</v>
      </c>
      <c r="W161" s="913">
        <v>0.68600000000000005</v>
      </c>
      <c r="X161" s="913">
        <v>0.71799999999999997</v>
      </c>
      <c r="Y161" s="913">
        <v>0.67800000000000005</v>
      </c>
      <c r="Z161" s="406">
        <f>Z93/Z63</f>
        <v>0.65075285409609873</v>
      </c>
      <c r="AA161" s="1021">
        <v>0.68300000000000005</v>
      </c>
      <c r="AB161" s="913">
        <v>0.628</v>
      </c>
      <c r="AC161" s="913">
        <v>0.69399999999999995</v>
      </c>
      <c r="AD161" s="913">
        <v>0.67700000000000005</v>
      </c>
      <c r="AE161" s="406">
        <f>AE93/AE63</f>
        <v>0.7110379957254811</v>
      </c>
      <c r="AF161" s="1021">
        <v>0.67800000000000005</v>
      </c>
      <c r="AG161" s="913">
        <v>0.67300000000000004</v>
      </c>
      <c r="AH161" s="913">
        <v>0.72199999999999998</v>
      </c>
      <c r="AI161" s="913">
        <v>0.66800000000000004</v>
      </c>
      <c r="AJ161" s="406">
        <f>AJ93/AJ63</f>
        <v>0.63786272962921231</v>
      </c>
      <c r="AK161" s="1021">
        <v>0.675</v>
      </c>
      <c r="AL161" s="913">
        <v>0.59099999999999997</v>
      </c>
      <c r="AM161" s="913">
        <v>0.57999999999999996</v>
      </c>
      <c r="AN161" s="913">
        <v>0.65200000000000002</v>
      </c>
      <c r="AO161" s="406">
        <f>AO93/AO63</f>
        <v>0.59300000000000008</v>
      </c>
      <c r="AP161" s="1021">
        <v>0.60410699831365933</v>
      </c>
      <c r="AQ161" s="913">
        <v>0.60</v>
      </c>
      <c r="AR161" s="913">
        <v>0.71</v>
      </c>
      <c r="AS161" s="913">
        <v>0.79</v>
      </c>
      <c r="AT161" s="406">
        <f>AT93/AT63</f>
        <v>0.74044215591915297</v>
      </c>
      <c r="AU161" s="1021">
        <v>0.71099999999999997</v>
      </c>
      <c r="AV161" s="913">
        <v>0.73299999999999998</v>
      </c>
      <c r="AW161" s="913">
        <v>0.84899999999999998</v>
      </c>
      <c r="AX161" s="913">
        <v>0.88</v>
      </c>
      <c r="AY161" s="576">
        <f>AY93/AY63</f>
        <v>0.86388198594024623</v>
      </c>
      <c r="AZ161" s="1021">
        <v>0.83299999999999996</v>
      </c>
      <c r="BA161" s="913">
        <v>0.875</v>
      </c>
      <c r="BB161" s="913">
        <v>0.97</v>
      </c>
      <c r="BC161" s="913">
        <v>0.815</v>
      </c>
      <c r="BD161" s="576">
        <f>BD93/BD63</f>
        <v>0.68213998888977068</v>
      </c>
      <c r="BE161" s="1021">
        <v>0.83299999999999996</v>
      </c>
      <c r="BF161" s="913">
        <v>0.72399999999999998</v>
      </c>
      <c r="BG161" s="913">
        <v>0.79800000000000004</v>
      </c>
      <c r="BH161" s="914">
        <v>0.74399999999999999</v>
      </c>
      <c r="BI161" s="576">
        <f t="shared" si="640" ref="BI161:BR161">BI93/BI63</f>
        <v>0.68884916932391616</v>
      </c>
      <c r="BJ161" s="1014">
        <f t="shared" si="640"/>
        <v>0.73879250362365945</v>
      </c>
      <c r="BK161" s="576">
        <f t="shared" si="640"/>
        <v>0.68825022806015912</v>
      </c>
      <c r="BL161" s="576">
        <f t="shared" si="640"/>
        <v>0.74499932420245241</v>
      </c>
      <c r="BM161" s="576">
        <f t="shared" si="640"/>
        <v>0.7181472090407639</v>
      </c>
      <c r="BN161" s="576">
        <f t="shared" si="640"/>
        <v>0.6740587889029459</v>
      </c>
      <c r="BO161" s="1014">
        <f t="shared" si="640"/>
        <v>0.70712256501015736</v>
      </c>
      <c r="BP161" s="1014">
        <f t="shared" si="640"/>
        <v>0.69280414794931455</v>
      </c>
      <c r="BQ161" s="1014">
        <f t="shared" si="640"/>
        <v>0.69297380073247505</v>
      </c>
      <c r="BR161" s="1014">
        <f t="shared" si="640"/>
        <v>0.6930347549610919</v>
      </c>
      <c r="BS161" s="47"/>
    </row>
    <row r="162" spans="1:71" s="25" customFormat="1" ht="15">
      <c r="A162" s="392" t="s">
        <v>636</v>
      </c>
      <c r="B162" s="488"/>
      <c r="C162" s="979">
        <f t="shared" si="641" ref="C162:AP162">ROUND(INDEX(MO_UI_Loss,0,COLUMN())/INDEX(MO_UI_NEP,0,COLUMN()),6)</f>
        <v>0.71594400000000002</v>
      </c>
      <c r="D162" s="1015">
        <f t="shared" si="641"/>
        <v>0.73002299999999998</v>
      </c>
      <c r="E162" s="1015">
        <f t="shared" si="641"/>
        <v>0.77680899999999997</v>
      </c>
      <c r="F162" s="1015">
        <f t="shared" si="641"/>
        <v>0.69090700000000005</v>
      </c>
      <c r="G162" s="1015">
        <f t="shared" si="641"/>
        <v>0.649142</v>
      </c>
      <c r="H162" s="158">
        <f t="shared" si="641"/>
        <v>0.67442500000000005</v>
      </c>
      <c r="I162" s="158">
        <f t="shared" si="641"/>
        <v>0.71327799999999997</v>
      </c>
      <c r="J162" s="158">
        <f t="shared" si="641"/>
        <v>0.67227999999999999</v>
      </c>
      <c r="K162" s="158">
        <f t="shared" si="641"/>
        <v>0.64069399999999999</v>
      </c>
      <c r="L162" s="1015">
        <f t="shared" si="641"/>
        <v>0.67188300000000001</v>
      </c>
      <c r="M162" s="158">
        <f t="shared" si="641"/>
        <v>0.67213500000000004</v>
      </c>
      <c r="N162" s="158">
        <f t="shared" si="641"/>
        <v>0.74026499999999995</v>
      </c>
      <c r="O162" s="158">
        <f t="shared" si="641"/>
        <v>0.68627499999999997</v>
      </c>
      <c r="P162" s="158">
        <f t="shared" si="641"/>
        <v>0.66839999999999999</v>
      </c>
      <c r="Q162" s="1015">
        <f t="shared" si="641"/>
        <v>0.68874899999999994</v>
      </c>
      <c r="R162" s="158">
        <f t="shared" si="641"/>
        <v>0.73613200000000001</v>
      </c>
      <c r="S162" s="158">
        <f t="shared" si="641"/>
        <v>0.75526099999999996</v>
      </c>
      <c r="T162" s="158">
        <f t="shared" si="641"/>
        <v>0.70582500000000004</v>
      </c>
      <c r="U162" s="158">
        <f t="shared" si="641"/>
        <v>0.66530599999999995</v>
      </c>
      <c r="V162" s="1015">
        <f t="shared" si="641"/>
        <v>0.71541699999999997</v>
      </c>
      <c r="W162" s="158">
        <f t="shared" si="641"/>
        <v>0.68625800000000003</v>
      </c>
      <c r="X162" s="158">
        <f t="shared" si="641"/>
        <v>0.71838400000000002</v>
      </c>
      <c r="Y162" s="158">
        <f t="shared" si="641"/>
        <v>0.68914500000000001</v>
      </c>
      <c r="Z162" s="158">
        <f t="shared" si="641"/>
        <v>0.65112899999999996</v>
      </c>
      <c r="AA162" s="1015">
        <f t="shared" si="641"/>
        <v>0.68605400000000005</v>
      </c>
      <c r="AB162" s="158">
        <f t="shared" si="641"/>
        <v>0.62837399999999999</v>
      </c>
      <c r="AC162" s="158">
        <f t="shared" si="641"/>
        <v>0.69424399999999997</v>
      </c>
      <c r="AD162" s="158">
        <f t="shared" si="641"/>
        <v>0.68661499999999998</v>
      </c>
      <c r="AE162" s="158">
        <f t="shared" si="641"/>
        <v>0.71127499999999999</v>
      </c>
      <c r="AF162" s="1015">
        <f t="shared" si="641"/>
        <v>0.68064000000000002</v>
      </c>
      <c r="AG162" s="158">
        <f t="shared" si="641"/>
        <v>0.67323500000000003</v>
      </c>
      <c r="AH162" s="158">
        <f t="shared" si="641"/>
        <v>0.72234600000000004</v>
      </c>
      <c r="AI162" s="158">
        <f t="shared" si="641"/>
        <v>0.67915899999999996</v>
      </c>
      <c r="AJ162" s="158">
        <f t="shared" si="641"/>
        <v>0.63808799999999999</v>
      </c>
      <c r="AK162" s="1015">
        <f t="shared" si="641"/>
        <v>0.67801400000000001</v>
      </c>
      <c r="AL162" s="158">
        <f>ROUND(INDEX(MO_UI_Loss,0,COLUMN())/INDEX(MO_UI_NEP,0,COLUMN()),6)</f>
        <v>0.591225</v>
      </c>
      <c r="AM162" s="158">
        <f>ROUND(INDEX(MO_UI_Loss,0,COLUMN())/INDEX(MO_UI_NEP,0,COLUMN()),6)</f>
        <v>0.58022600000000002</v>
      </c>
      <c r="AN162" s="158">
        <f>ROUND(INDEX(MO_UI_Loss,0,COLUMN())/INDEX(MO_UI_NEP,0,COLUMN()),6)</f>
        <v>0.66708000000000001</v>
      </c>
      <c r="AO162" s="158">
        <f t="shared" si="641"/>
        <v>0.593225</v>
      </c>
      <c r="AP162" s="1015">
        <f t="shared" si="641"/>
        <v>0.60807</v>
      </c>
      <c r="AQ162" s="158">
        <f t="shared" si="642" ref="AQ162:AV162">ROUND(INDEX(MO_UI_Loss,0,COLUMN())/INDEX(MO_UI_NEP,0,COLUMN()),6)</f>
        <v>0.600101</v>
      </c>
      <c r="AR162" s="158">
        <f t="shared" si="642"/>
        <v>0.71009999999999995</v>
      </c>
      <c r="AS162" s="158">
        <f t="shared" si="642"/>
        <v>0.80112300000000003</v>
      </c>
      <c r="AT162" s="158">
        <f t="shared" si="642"/>
        <v>0.74053800000000003</v>
      </c>
      <c r="AU162" s="1015">
        <f t="shared" si="642"/>
        <v>0.71386700000000003</v>
      </c>
      <c r="AV162" s="158">
        <f t="shared" si="642"/>
        <v>0.73309500000000005</v>
      </c>
      <c r="AW162" s="158">
        <f t="shared" si="643" ref="AW162:BJ162">ROUND(INDEX(MO_UI_Loss,0,COLUMN())/INDEX(MO_UI_NEP,0,COLUMN()),6)</f>
        <v>0.84927600000000003</v>
      </c>
      <c r="AX162" s="158">
        <f t="shared" si="643"/>
        <v>0.89075599999999999</v>
      </c>
      <c r="AY162" s="393">
        <f t="shared" si="643"/>
        <v>0.86397000000000002</v>
      </c>
      <c r="AZ162" s="1016">
        <f t="shared" si="643"/>
        <v>0.83584700000000001</v>
      </c>
      <c r="BA162" s="158">
        <f t="shared" si="644" ref="BA162:BI162">ROUND(INDEX(MO_UI_Loss,0,COLUMN())/INDEX(MO_UI_NEP,0,COLUMN()),6)</f>
        <v>0.87517199999999995</v>
      </c>
      <c r="BB162" s="158">
        <f t="shared" si="644"/>
        <v>0.97008399999999995</v>
      </c>
      <c r="BC162" s="158">
        <f t="shared" si="644"/>
        <v>0.82168300000000005</v>
      </c>
      <c r="BD162" s="393">
        <f t="shared" si="644"/>
        <v>0.68245699999999998</v>
      </c>
      <c r="BE162" s="1015">
        <f t="shared" si="644"/>
        <v>0.83483799999999997</v>
      </c>
      <c r="BF162" s="158">
        <f t="shared" si="644"/>
        <v>0.72431000000000001</v>
      </c>
      <c r="BG162" s="158">
        <f>ROUND(INDEX(MO_UI_Loss,0,COLUMN())/INDEX(MO_UI_NEP,0,COLUMN()),6)</f>
        <v>0.79815000000000003</v>
      </c>
      <c r="BH162" s="750">
        <f>ROUND(INDEX(MO_UI_Loss,0,COLUMN())/INDEX(MO_UI_NEP,0,COLUMN()),6)</f>
        <v>0.74830799999999997</v>
      </c>
      <c r="BI162" s="393">
        <f t="shared" si="644"/>
        <v>0.68884900000000004</v>
      </c>
      <c r="BJ162" s="1016">
        <f t="shared" si="643"/>
        <v>0.74000900000000003</v>
      </c>
      <c r="BK162" s="393">
        <f t="shared" si="645" ref="BK162:BR162">ROUND(INDEX(MO_UI_Loss,0,COLUMN())/INDEX(MO_UI_NEP,0,COLUMN()),6)</f>
        <v>0.68825000000000003</v>
      </c>
      <c r="BL162" s="393">
        <f t="shared" si="645"/>
        <v>0.74499899999999997</v>
      </c>
      <c r="BM162" s="393">
        <f t="shared" si="645"/>
        <v>0.71814699999999998</v>
      </c>
      <c r="BN162" s="393">
        <f t="shared" si="645"/>
        <v>0.67405899999999996</v>
      </c>
      <c r="BO162" s="1016">
        <f t="shared" si="645"/>
        <v>0.70712299999999995</v>
      </c>
      <c r="BP162" s="1016">
        <f t="shared" si="645"/>
        <v>0.69280399999999998</v>
      </c>
      <c r="BQ162" s="1016">
        <f t="shared" si="645"/>
        <v>0.69297399999999998</v>
      </c>
      <c r="BR162" s="1016">
        <f t="shared" si="645"/>
        <v>0.69303499999999996</v>
      </c>
      <c r="BS162" s="158"/>
    </row>
    <row r="163" spans="1:71" s="25" customFormat="1" ht="15">
      <c r="A163" s="490"/>
      <c r="B163" s="488"/>
      <c r="C163" s="977"/>
      <c r="D163" s="1016"/>
      <c r="E163" s="1016"/>
      <c r="F163" s="1016"/>
      <c r="G163" s="1016"/>
      <c r="H163" s="393"/>
      <c r="I163" s="393"/>
      <c r="J163" s="393"/>
      <c r="K163" s="393"/>
      <c r="L163" s="1016"/>
      <c r="M163" s="393"/>
      <c r="N163" s="393"/>
      <c r="O163" s="393"/>
      <c r="P163" s="393"/>
      <c r="Q163" s="1016"/>
      <c r="R163" s="393"/>
      <c r="S163" s="393"/>
      <c r="T163" s="393"/>
      <c r="U163" s="393"/>
      <c r="V163" s="1016"/>
      <c r="W163" s="393"/>
      <c r="X163" s="393"/>
      <c r="Y163" s="393"/>
      <c r="Z163" s="393"/>
      <c r="AA163" s="1016"/>
      <c r="AB163" s="393"/>
      <c r="AC163" s="393"/>
      <c r="AD163" s="393"/>
      <c r="AE163" s="393"/>
      <c r="AF163" s="1016"/>
      <c r="AG163" s="393"/>
      <c r="AH163" s="393"/>
      <c r="AI163" s="393"/>
      <c r="AJ163" s="393"/>
      <c r="AK163" s="1016"/>
      <c r="AL163" s="393"/>
      <c r="AM163" s="393"/>
      <c r="AN163" s="393"/>
      <c r="AO163" s="393"/>
      <c r="AP163" s="1016"/>
      <c r="AQ163" s="393"/>
      <c r="AR163" s="393"/>
      <c r="AS163" s="393"/>
      <c r="AT163" s="393"/>
      <c r="AU163" s="1016"/>
      <c r="AV163" s="393"/>
      <c r="AW163" s="393"/>
      <c r="AX163" s="393"/>
      <c r="AY163" s="393"/>
      <c r="AZ163" s="1016"/>
      <c r="BA163" s="393"/>
      <c r="BB163" s="393"/>
      <c r="BC163" s="393"/>
      <c r="BD163" s="393"/>
      <c r="BE163" s="1016"/>
      <c r="BF163" s="393"/>
      <c r="BG163" s="393"/>
      <c r="BH163" s="751"/>
      <c r="BI163" s="393"/>
      <c r="BJ163" s="1016"/>
      <c r="BK163" s="393"/>
      <c r="BL163" s="393"/>
      <c r="BM163" s="393"/>
      <c r="BN163" s="393"/>
      <c r="BO163" s="1016"/>
      <c r="BP163" s="1016"/>
      <c r="BQ163" s="1016"/>
      <c r="BR163" s="1016"/>
      <c r="BS163" s="158"/>
    </row>
    <row r="164" spans="1:71" s="570" customFormat="1" ht="15">
      <c r="A164" s="231" t="s">
        <v>804</v>
      </c>
      <c r="B164" s="494"/>
      <c r="C164" s="1022"/>
      <c r="D164" s="1022"/>
      <c r="E164" s="1022"/>
      <c r="F164" s="1022"/>
      <c r="G164" s="1022"/>
      <c r="H164" s="501"/>
      <c r="I164" s="501"/>
      <c r="J164" s="501"/>
      <c r="K164" s="501">
        <f>K98/K58</f>
        <v>0</v>
      </c>
      <c r="L164" s="1022"/>
      <c r="M164" s="501"/>
      <c r="N164" s="501"/>
      <c r="O164" s="501"/>
      <c r="P164" s="501"/>
      <c r="Q164" s="1023">
        <v>0.252</v>
      </c>
      <c r="R164" s="916">
        <v>0.24399999999999999</v>
      </c>
      <c r="S164" s="916">
        <v>0.249</v>
      </c>
      <c r="T164" s="916">
        <v>0.24099999999999999</v>
      </c>
      <c r="U164" s="501">
        <f>U98/U58</f>
        <v>0.24995301764159691</v>
      </c>
      <c r="V164" s="1023">
        <v>0.246</v>
      </c>
      <c r="W164" s="916">
        <v>0.24399999999999999</v>
      </c>
      <c r="X164" s="916">
        <v>0.253</v>
      </c>
      <c r="Y164" s="916">
        <v>0.251</v>
      </c>
      <c r="Z164" s="501">
        <f>Z98/Z58</f>
        <v>0.25977643667807609</v>
      </c>
      <c r="AA164" s="1023">
        <v>0.252</v>
      </c>
      <c r="AB164" s="916">
        <v>0.249</v>
      </c>
      <c r="AC164" s="916">
        <v>0.25700000000000001</v>
      </c>
      <c r="AD164" s="916">
        <v>0.255</v>
      </c>
      <c r="AE164" s="501">
        <f>AE98/AE58</f>
        <v>0.25485806671204897</v>
      </c>
      <c r="AF164" s="1023">
        <v>0.254</v>
      </c>
      <c r="AG164" s="916">
        <v>0.249</v>
      </c>
      <c r="AH164" s="916">
        <v>0.24199999999999999</v>
      </c>
      <c r="AI164" s="916">
        <v>0.24199999999999999</v>
      </c>
      <c r="AJ164" s="501">
        <f>AJ98/AJ58</f>
        <v>0.25886765424059904</v>
      </c>
      <c r="AK164" s="1023">
        <v>0.248</v>
      </c>
      <c r="AL164" s="916">
        <v>0.27100000000000002</v>
      </c>
      <c r="AM164" s="916">
        <v>0.35799999999999998</v>
      </c>
      <c r="AN164" s="916">
        <v>0.25700000000000001</v>
      </c>
      <c r="AO164" s="501">
        <f>AO98/AO58</f>
        <v>0.25378485990496469</v>
      </c>
      <c r="AP164" s="1023">
        <v>0.28499999999999998</v>
      </c>
      <c r="AQ164" s="916">
        <v>0.23300000000000001</v>
      </c>
      <c r="AR164" s="916">
        <v>0.25600000000000001</v>
      </c>
      <c r="AS164" s="916">
        <v>0.254</v>
      </c>
      <c r="AT164" s="501">
        <f>AT98/AT58</f>
        <v>0.25273315287077935</v>
      </c>
      <c r="AU164" s="1023">
        <v>0.249</v>
      </c>
      <c r="AV164" s="916">
        <v>0.245</v>
      </c>
      <c r="AW164" s="916">
        <v>0.23</v>
      </c>
      <c r="AX164" s="916">
        <v>0.221</v>
      </c>
      <c r="AY164" s="501">
        <f t="shared" si="646" ref="AY164:AY169">AY98/AY58</f>
        <v>0.22121237566205923</v>
      </c>
      <c r="AZ164" s="1023">
        <v>0.22900000000000001</v>
      </c>
      <c r="BA164" s="916">
        <v>0.21</v>
      </c>
      <c r="BB164" s="916">
        <v>0.20399999999999999</v>
      </c>
      <c r="BC164" s="916">
        <v>0.20699999999999999</v>
      </c>
      <c r="BD164" s="501">
        <f t="shared" si="647" ref="BD164:BD169">BD98/BD58</f>
        <v>0.20322916180247477</v>
      </c>
      <c r="BE164" s="1023">
        <v>0.20599999999999999</v>
      </c>
      <c r="BF164" s="916">
        <v>0.20599999999999999</v>
      </c>
      <c r="BG164" s="916">
        <v>0.217</v>
      </c>
      <c r="BH164" s="917">
        <v>0.22900000000000001</v>
      </c>
      <c r="BI164" s="916">
        <v>0.23</v>
      </c>
      <c r="BJ164" s="1022">
        <f t="shared" si="648" ref="BJ164:BJ169">BJ98/BJ58</f>
        <v>0.22081241221039116</v>
      </c>
      <c r="BK164" s="916">
        <v>0.23</v>
      </c>
      <c r="BL164" s="916">
        <v>0.23</v>
      </c>
      <c r="BM164" s="916">
        <v>0.23</v>
      </c>
      <c r="BN164" s="916">
        <v>0.23</v>
      </c>
      <c r="BO164" s="1022">
        <f t="shared" si="649" ref="BO164:BO169">BO98/BO58</f>
        <v>0.23</v>
      </c>
      <c r="BP164" s="1023">
        <v>0.23</v>
      </c>
      <c r="BQ164" s="1023">
        <v>0.23</v>
      </c>
      <c r="BR164" s="1023">
        <v>0.23</v>
      </c>
      <c r="BS164" s="45"/>
    </row>
    <row r="165" spans="1:71" s="570" customFormat="1" ht="15">
      <c r="A165" s="231" t="s">
        <v>805</v>
      </c>
      <c r="B165" s="494"/>
      <c r="C165" s="1022"/>
      <c r="D165" s="1022"/>
      <c r="E165" s="1022"/>
      <c r="F165" s="1022"/>
      <c r="G165" s="1022"/>
      <c r="H165" s="501"/>
      <c r="I165" s="501"/>
      <c r="J165" s="501"/>
      <c r="K165" s="501">
        <f>K99/K59</f>
        <v>0</v>
      </c>
      <c r="L165" s="1022"/>
      <c r="M165" s="501"/>
      <c r="N165" s="501"/>
      <c r="O165" s="501"/>
      <c r="P165" s="501"/>
      <c r="Q165" s="1023">
        <v>0.23599999999999999</v>
      </c>
      <c r="R165" s="916">
        <v>0.23400000000000001</v>
      </c>
      <c r="S165" s="916">
        <v>0.23899999999999999</v>
      </c>
      <c r="T165" s="916">
        <v>0.24299999999999999</v>
      </c>
      <c r="U165" s="501">
        <f>U99/U59</f>
        <v>0.23998845519516224</v>
      </c>
      <c r="V165" s="1023">
        <v>0.23899999999999999</v>
      </c>
      <c r="W165" s="916">
        <v>0.23599999999999999</v>
      </c>
      <c r="X165" s="916">
        <v>0.22800000000000001</v>
      </c>
      <c r="Y165" s="916">
        <v>0.24099999999999999</v>
      </c>
      <c r="Z165" s="501">
        <f>Z99/Z59</f>
        <v>0.24681168831168837</v>
      </c>
      <c r="AA165" s="1023">
        <v>0.23799999999999999</v>
      </c>
      <c r="AB165" s="916">
        <v>0.23599999999999999</v>
      </c>
      <c r="AC165" s="916">
        <v>0.235</v>
      </c>
      <c r="AD165" s="916">
        <v>0.248</v>
      </c>
      <c r="AE165" s="501">
        <f>AE99/AE59</f>
        <v>0.24868234064785796</v>
      </c>
      <c r="AF165" s="1023">
        <v>0.24199999999999999</v>
      </c>
      <c r="AG165" s="916">
        <v>0.23400000000000001</v>
      </c>
      <c r="AH165" s="916">
        <v>0.225</v>
      </c>
      <c r="AI165" s="916">
        <v>0.23200000000000001</v>
      </c>
      <c r="AJ165" s="501">
        <f>AJ99/AJ59</f>
        <v>0.24077744807121668</v>
      </c>
      <c r="AK165" s="1023">
        <v>0.23300000000000001</v>
      </c>
      <c r="AL165" s="916">
        <v>0.22600000000000001</v>
      </c>
      <c r="AM165" s="916">
        <v>0.22</v>
      </c>
      <c r="AN165" s="916">
        <v>0.22800000000000001</v>
      </c>
      <c r="AO165" s="501">
        <f>AO99/AO59</f>
        <v>0.23386220095693783</v>
      </c>
      <c r="AP165" s="1023">
        <v>0.22700000000000001</v>
      </c>
      <c r="AQ165" s="916">
        <v>0.23899999999999999</v>
      </c>
      <c r="AR165" s="916">
        <v>0.24</v>
      </c>
      <c r="AS165" s="916">
        <v>0.251</v>
      </c>
      <c r="AT165" s="501">
        <f>AT99/AT59</f>
        <v>0.2531483474250576</v>
      </c>
      <c r="AU165" s="1023">
        <v>0.246</v>
      </c>
      <c r="AV165" s="916">
        <v>0.221</v>
      </c>
      <c r="AW165" s="916">
        <v>0.23</v>
      </c>
      <c r="AX165" s="916">
        <v>0.225</v>
      </c>
      <c r="AY165" s="501">
        <f t="shared" si="646"/>
        <v>0.2239448529411765</v>
      </c>
      <c r="AZ165" s="1023">
        <v>0.225</v>
      </c>
      <c r="BA165" s="916">
        <v>0.205</v>
      </c>
      <c r="BB165" s="916">
        <v>0.20300000000000001</v>
      </c>
      <c r="BC165" s="916">
        <v>0.22</v>
      </c>
      <c r="BD165" s="501">
        <f t="shared" si="647"/>
        <v>0.22673610659733501</v>
      </c>
      <c r="BE165" s="1023">
        <v>0.214</v>
      </c>
      <c r="BF165" s="916">
        <v>0.218</v>
      </c>
      <c r="BG165" s="916">
        <v>0.21199999999999999</v>
      </c>
      <c r="BH165" s="917">
        <v>0.219</v>
      </c>
      <c r="BI165" s="916">
        <v>0.235</v>
      </c>
      <c r="BJ165" s="1022">
        <f t="shared" si="648"/>
        <v>0.22064015378209892</v>
      </c>
      <c r="BK165" s="916">
        <v>0.23</v>
      </c>
      <c r="BL165" s="916">
        <v>0.23</v>
      </c>
      <c r="BM165" s="916">
        <v>0.235</v>
      </c>
      <c r="BN165" s="916">
        <v>0.235</v>
      </c>
      <c r="BO165" s="1022">
        <f t="shared" si="649"/>
        <v>0.2325618341219845</v>
      </c>
      <c r="BP165" s="1023">
        <v>0.235</v>
      </c>
      <c r="BQ165" s="1023">
        <v>0.235</v>
      </c>
      <c r="BR165" s="1023">
        <v>0.235</v>
      </c>
      <c r="BS165" s="45"/>
    </row>
    <row r="166" spans="1:71" s="570" customFormat="1" ht="15">
      <c r="A166" s="231" t="s">
        <v>806</v>
      </c>
      <c r="B166" s="494"/>
      <c r="C166" s="1022"/>
      <c r="D166" s="1022"/>
      <c r="E166" s="1022"/>
      <c r="F166" s="1022"/>
      <c r="G166" s="1022"/>
      <c r="H166" s="501"/>
      <c r="I166" s="501"/>
      <c r="J166" s="501"/>
      <c r="K166" s="501">
        <f>K100/K60</f>
        <v>0</v>
      </c>
      <c r="L166" s="1022"/>
      <c r="M166" s="501"/>
      <c r="N166" s="501"/>
      <c r="O166" s="501"/>
      <c r="P166" s="501"/>
      <c r="Q166" s="1023">
        <v>0.26800000000000002</v>
      </c>
      <c r="R166" s="916">
        <v>0.26400000000000001</v>
      </c>
      <c r="S166" s="916">
        <v>0.26900000000000002</v>
      </c>
      <c r="T166" s="916">
        <v>0.28399999999999997</v>
      </c>
      <c r="U166" s="501">
        <f>U100/U60</f>
        <v>0.29071328671328678</v>
      </c>
      <c r="V166" s="1023">
        <v>0.27700000000000002</v>
      </c>
      <c r="W166" s="916">
        <v>0.27600000000000002</v>
      </c>
      <c r="X166" s="916">
        <v>0.28199999999999997</v>
      </c>
      <c r="Y166" s="916">
        <v>0.29099999999999998</v>
      </c>
      <c r="Z166" s="501">
        <f>Z100/Z60</f>
        <v>0.30651576576576561</v>
      </c>
      <c r="AA166" s="1023">
        <v>0.28899999999999998</v>
      </c>
      <c r="AB166" s="916">
        <v>0.27000000000000002</v>
      </c>
      <c r="AC166" s="916">
        <v>0.26400000000000001</v>
      </c>
      <c r="AD166" s="916">
        <v>0.28100000000000003</v>
      </c>
      <c r="AE166" s="501">
        <f>AE100/AE60</f>
        <v>0.30083039647577103</v>
      </c>
      <c r="AF166" s="1023">
        <v>0.27900000000000003</v>
      </c>
      <c r="AG166" s="916">
        <v>0.26400000000000001</v>
      </c>
      <c r="AH166" s="916">
        <v>0.25700000000000001</v>
      </c>
      <c r="AI166" s="916">
        <v>0.26600000000000001</v>
      </c>
      <c r="AJ166" s="501">
        <f>AJ100/AJ60</f>
        <v>0.28863057324840774</v>
      </c>
      <c r="AK166" s="1023">
        <v>0.26900000000000002</v>
      </c>
      <c r="AL166" s="916">
        <v>0.265</v>
      </c>
      <c r="AM166" s="916">
        <v>0.26100000000000001</v>
      </c>
      <c r="AN166" s="916">
        <v>0.28399999999999997</v>
      </c>
      <c r="AO166" s="501">
        <f>AO100/AO60</f>
        <v>0.28952066115702491</v>
      </c>
      <c r="AP166" s="1023">
        <v>0.27500000000000002</v>
      </c>
      <c r="AQ166" s="916">
        <v>0.254</v>
      </c>
      <c r="AR166" s="916">
        <v>0.245</v>
      </c>
      <c r="AS166" s="916">
        <v>0.27400000000000002</v>
      </c>
      <c r="AT166" s="501">
        <f>AT100/AT60</f>
        <v>0.26271428571428573</v>
      </c>
      <c r="AU166" s="1023">
        <v>0.25900000000000001</v>
      </c>
      <c r="AV166" s="916">
        <v>0.245</v>
      </c>
      <c r="AW166" s="916">
        <v>0.23100000000000001</v>
      </c>
      <c r="AX166" s="916">
        <v>0.25800000000000001</v>
      </c>
      <c r="AY166" s="501">
        <f t="shared" si="646"/>
        <v>0.24214732965009195</v>
      </c>
      <c r="AZ166" s="1023">
        <v>0.24399999999999999</v>
      </c>
      <c r="BA166" s="916">
        <v>0.22</v>
      </c>
      <c r="BB166" s="916">
        <v>0.184</v>
      </c>
      <c r="BC166" s="916">
        <v>0.20399999999999999</v>
      </c>
      <c r="BD166" s="501">
        <f t="shared" si="647"/>
        <v>0.17805079365079376</v>
      </c>
      <c r="BE166" s="1023">
        <v>0.19600000000000001</v>
      </c>
      <c r="BF166" s="916">
        <v>0.13300000000000001</v>
      </c>
      <c r="BG166" s="916">
        <v>0.158</v>
      </c>
      <c r="BH166" s="917">
        <v>0.063</v>
      </c>
      <c r="BI166" s="916">
        <v>0.25</v>
      </c>
      <c r="BJ166" s="1022">
        <f t="shared" si="648"/>
        <v>0.14610616069478236</v>
      </c>
      <c r="BK166" s="916">
        <v>0.25</v>
      </c>
      <c r="BL166" s="916">
        <v>0.25</v>
      </c>
      <c r="BM166" s="916">
        <v>0.25</v>
      </c>
      <c r="BN166" s="916">
        <v>0.25</v>
      </c>
      <c r="BO166" s="1022">
        <f t="shared" si="649"/>
        <v>0.25</v>
      </c>
      <c r="BP166" s="1023">
        <v>0.25</v>
      </c>
      <c r="BQ166" s="1023">
        <v>0.25</v>
      </c>
      <c r="BR166" s="1023">
        <v>0.25</v>
      </c>
      <c r="BS166" s="45"/>
    </row>
    <row r="167" spans="1:71" s="570" customFormat="1" ht="15">
      <c r="A167" s="231" t="s">
        <v>807</v>
      </c>
      <c r="B167" s="494"/>
      <c r="C167" s="1022"/>
      <c r="D167" s="1022"/>
      <c r="E167" s="1022"/>
      <c r="F167" s="1022"/>
      <c r="G167" s="1022"/>
      <c r="H167" s="501"/>
      <c r="I167" s="501"/>
      <c r="J167" s="501"/>
      <c r="K167" s="501">
        <f>K101/K61</f>
        <v>0</v>
      </c>
      <c r="L167" s="1022"/>
      <c r="M167" s="501"/>
      <c r="N167" s="501"/>
      <c r="O167" s="501"/>
      <c r="P167" s="501"/>
      <c r="Q167" s="1023">
        <v>0.29399999999999998</v>
      </c>
      <c r="R167" s="916">
        <v>0.29499999999999998</v>
      </c>
      <c r="S167" s="916">
        <v>0.27600000000000002</v>
      </c>
      <c r="T167" s="916">
        <v>0.26800000000000002</v>
      </c>
      <c r="U167" s="501">
        <f>U101/U61</f>
        <v>0.27256097560975612</v>
      </c>
      <c r="V167" s="1023">
        <v>0.27800000000000002</v>
      </c>
      <c r="W167" s="916">
        <v>0.26400000000000001</v>
      </c>
      <c r="X167" s="916">
        <v>0.28799999999999998</v>
      </c>
      <c r="Y167" s="916">
        <v>0.28999999999999998</v>
      </c>
      <c r="Z167" s="501">
        <f>Z101/Z61</f>
        <v>0.29016406249999988</v>
      </c>
      <c r="AA167" s="1023">
        <v>0.28299999999999997</v>
      </c>
      <c r="AB167" s="916">
        <v>0.25700000000000001</v>
      </c>
      <c r="AC167" s="916">
        <v>0.21199999999999999</v>
      </c>
      <c r="AD167" s="916">
        <v>0.193</v>
      </c>
      <c r="AE167" s="501">
        <f>AE101/AE61</f>
        <v>0.20376404494382019</v>
      </c>
      <c r="AF167" s="1023">
        <v>0.214</v>
      </c>
      <c r="AG167" s="916">
        <v>0.20200000000000001</v>
      </c>
      <c r="AH167" s="916">
        <v>0.16400000000000001</v>
      </c>
      <c r="AI167" s="916">
        <v>0.161</v>
      </c>
      <c r="AJ167" s="501">
        <f>AJ101/AJ61</f>
        <v>0.16369620253164557</v>
      </c>
      <c r="AK167" s="1023">
        <v>0.17100000000000001</v>
      </c>
      <c r="AL167" s="916">
        <v>0.193</v>
      </c>
      <c r="AM167" s="916">
        <v>0.28299999999999997</v>
      </c>
      <c r="AN167" s="916">
        <v>0.24099999999999999</v>
      </c>
      <c r="AO167" s="501">
        <f>AO101/AO61</f>
        <v>0.1925942028985507</v>
      </c>
      <c r="AP167" s="1023">
        <v>0.223</v>
      </c>
      <c r="AQ167" s="916">
        <v>0.22700000000000001</v>
      </c>
      <c r="AR167" s="916">
        <v>0.22</v>
      </c>
      <c r="AS167" s="916">
        <v>0.221</v>
      </c>
      <c r="AT167" s="501">
        <f>AT101/AT61</f>
        <v>0.19956962025316458</v>
      </c>
      <c r="AU167" s="1023">
        <v>0.216</v>
      </c>
      <c r="AV167" s="916">
        <v>0.205</v>
      </c>
      <c r="AW167" s="916">
        <v>0.187</v>
      </c>
      <c r="AX167" s="916">
        <v>0.189</v>
      </c>
      <c r="AY167" s="501">
        <f t="shared" si="646"/>
        <v>0.24985542168674704</v>
      </c>
      <c r="AZ167" s="1023">
        <v>0.20599999999999999</v>
      </c>
      <c r="BA167" s="916">
        <v>0.23699999999999999</v>
      </c>
      <c r="BB167" s="916">
        <v>0.248</v>
      </c>
      <c r="BC167" s="916">
        <v>0.28899999999999998</v>
      </c>
      <c r="BD167" s="501">
        <f t="shared" si="647"/>
        <v>0.31154644808743176</v>
      </c>
      <c r="BE167" s="1023">
        <v>0.26900000000000002</v>
      </c>
      <c r="BF167" s="916">
        <v>0.26</v>
      </c>
      <c r="BG167" s="916">
        <v>0.28499999999999998</v>
      </c>
      <c r="BH167" s="917">
        <v>0.25800000000000001</v>
      </c>
      <c r="BI167" s="916">
        <v>0.23</v>
      </c>
      <c r="BJ167" s="1022">
        <f t="shared" si="648"/>
        <v>0.25649623134267902</v>
      </c>
      <c r="BK167" s="916">
        <v>0.23</v>
      </c>
      <c r="BL167" s="916">
        <v>0.23</v>
      </c>
      <c r="BM167" s="916">
        <v>0.23</v>
      </c>
      <c r="BN167" s="916">
        <v>0.23</v>
      </c>
      <c r="BO167" s="1022">
        <f t="shared" si="649"/>
        <v>0.22999999999999998</v>
      </c>
      <c r="BP167" s="1023">
        <v>0.23</v>
      </c>
      <c r="BQ167" s="1023">
        <v>0.23</v>
      </c>
      <c r="BR167" s="1023">
        <v>0.23</v>
      </c>
      <c r="BS167" s="45"/>
    </row>
    <row r="168" spans="1:71" s="24" customFormat="1" ht="15">
      <c r="A168" s="231" t="s">
        <v>808</v>
      </c>
      <c r="B168" s="231"/>
      <c r="C168" s="970"/>
      <c r="D168" s="1011"/>
      <c r="E168" s="1011"/>
      <c r="F168" s="1011"/>
      <c r="G168" s="1011"/>
      <c r="H168" s="130"/>
      <c r="I168" s="130"/>
      <c r="J168" s="130"/>
      <c r="K168" s="130"/>
      <c r="L168" s="1011"/>
      <c r="M168" s="130"/>
      <c r="N168" s="130"/>
      <c r="O168" s="130"/>
      <c r="P168" s="130"/>
      <c r="Q168" s="1011"/>
      <c r="R168" s="130"/>
      <c r="S168" s="130"/>
      <c r="T168" s="130"/>
      <c r="U168" s="130"/>
      <c r="V168" s="1011"/>
      <c r="W168" s="130"/>
      <c r="X168" s="130"/>
      <c r="Y168" s="130"/>
      <c r="Z168" s="130"/>
      <c r="AA168" s="1011"/>
      <c r="AB168" s="130"/>
      <c r="AC168" s="130"/>
      <c r="AD168" s="130"/>
      <c r="AE168" s="130"/>
      <c r="AF168" s="1011"/>
      <c r="AG168" s="130"/>
      <c r="AH168" s="130"/>
      <c r="AI168" s="130"/>
      <c r="AJ168" s="130"/>
      <c r="AK168" s="1011"/>
      <c r="AL168" s="130"/>
      <c r="AM168" s="130"/>
      <c r="AN168" s="130"/>
      <c r="AO168" s="130"/>
      <c r="AP168" s="1011"/>
      <c r="AQ168" s="130"/>
      <c r="AR168" s="130"/>
      <c r="AS168" s="130"/>
      <c r="AT168" s="130"/>
      <c r="AU168" s="1011"/>
      <c r="AV168" s="905">
        <v>0.41599999999999998</v>
      </c>
      <c r="AW168" s="905">
        <v>0.39200000000000002</v>
      </c>
      <c r="AX168" s="905">
        <v>0.41099999999999998</v>
      </c>
      <c r="AY168" s="130">
        <f t="shared" si="646"/>
        <v>0.35059842519685036</v>
      </c>
      <c r="AZ168" s="1012">
        <v>0.39200000000000002</v>
      </c>
      <c r="BA168" s="905">
        <v>0.33300000000000002</v>
      </c>
      <c r="BB168" s="905">
        <v>0.32</v>
      </c>
      <c r="BC168" s="905">
        <v>0.325</v>
      </c>
      <c r="BD168" s="130">
        <f t="shared" si="647"/>
        <v>0.25435172413793089</v>
      </c>
      <c r="BE168" s="1012">
        <v>0.307</v>
      </c>
      <c r="BF168" s="905">
        <v>0.214</v>
      </c>
      <c r="BG168" s="905">
        <v>0.151</v>
      </c>
      <c r="BH168" s="907">
        <v>0.012999999999999999</v>
      </c>
      <c r="BI168" s="905">
        <v>0.33</v>
      </c>
      <c r="BJ168" s="1011">
        <f t="shared" si="648"/>
        <v>0.16843354148082071</v>
      </c>
      <c r="BK168" s="905">
        <v>0.33</v>
      </c>
      <c r="BL168" s="905">
        <v>0.33</v>
      </c>
      <c r="BM168" s="905">
        <v>0.33</v>
      </c>
      <c r="BN168" s="905">
        <v>0.33</v>
      </c>
      <c r="BO168" s="1011">
        <f t="shared" si="649"/>
        <v>0.33</v>
      </c>
      <c r="BP168" s="1012">
        <v>0.33</v>
      </c>
      <c r="BQ168" s="1012">
        <v>0.33</v>
      </c>
      <c r="BR168" s="1012">
        <v>0.33</v>
      </c>
      <c r="BS168" s="47"/>
    </row>
    <row r="169" spans="1:71" s="24" customFormat="1" ht="15">
      <c r="A169" s="404" t="s">
        <v>356</v>
      </c>
      <c r="B169" s="489"/>
      <c r="C169" s="1024">
        <v>0.246</v>
      </c>
      <c r="D169" s="1021">
        <v>0.251</v>
      </c>
      <c r="E169" s="1021">
        <v>0.25700000000000001</v>
      </c>
      <c r="F169" s="1021">
        <v>0.26400000000000001</v>
      </c>
      <c r="G169" s="1021">
        <v>0.27100000000000002</v>
      </c>
      <c r="H169" s="913">
        <v>0.27300000000000002</v>
      </c>
      <c r="I169" s="913">
        <v>0.26</v>
      </c>
      <c r="J169" s="913">
        <v>0.26300000000000001</v>
      </c>
      <c r="K169" s="576">
        <f>K103/K63</f>
        <v>0.27734765733296368</v>
      </c>
      <c r="L169" s="1021">
        <v>0.26700000000000002</v>
      </c>
      <c r="M169" s="913">
        <v>0.265</v>
      </c>
      <c r="N169" s="913">
        <v>0.26100000000000001</v>
      </c>
      <c r="O169" s="913">
        <v>0.249</v>
      </c>
      <c r="P169" s="576">
        <f>P103/P63</f>
        <v>0.22571360445092062</v>
      </c>
      <c r="Q169" s="1021">
        <v>0.249</v>
      </c>
      <c r="R169" s="913">
        <v>0.248</v>
      </c>
      <c r="S169" s="913">
        <v>0.253</v>
      </c>
      <c r="T169" s="913">
        <v>0.249</v>
      </c>
      <c r="U169" s="576">
        <f>U103/U63</f>
        <v>0.23017380092831352</v>
      </c>
      <c r="V169" s="1021">
        <v>0.245</v>
      </c>
      <c r="W169" s="913">
        <v>0.24299999999999999</v>
      </c>
      <c r="X169" s="913">
        <v>0.247</v>
      </c>
      <c r="Y169" s="913">
        <v>0.25</v>
      </c>
      <c r="Z169" s="576">
        <f>Z103/Z63</f>
        <v>0.25975210136745708</v>
      </c>
      <c r="AA169" s="1021">
        <v>0.25</v>
      </c>
      <c r="AB169" s="913">
        <v>0.246</v>
      </c>
      <c r="AC169" s="913">
        <v>0.25</v>
      </c>
      <c r="AD169" s="913">
        <v>0.252</v>
      </c>
      <c r="AE169" s="576">
        <f>AE103/AE63</f>
        <v>0.25574519116599392</v>
      </c>
      <c r="AF169" s="1021">
        <v>0.251</v>
      </c>
      <c r="AG169" s="913">
        <v>0.24399999999999999</v>
      </c>
      <c r="AH169" s="913">
        <v>0.235</v>
      </c>
      <c r="AI169" s="913">
        <v>0.23699999999999999</v>
      </c>
      <c r="AJ169" s="576">
        <f>AJ103/AJ63</f>
        <v>0.24795289079229124</v>
      </c>
      <c r="AK169" s="1021">
        <v>0.24099999999999999</v>
      </c>
      <c r="AL169" s="913">
        <v>0.25700000000000001</v>
      </c>
      <c r="AM169" s="913">
        <v>0.318</v>
      </c>
      <c r="AN169" s="913">
        <v>0.249</v>
      </c>
      <c r="AO169" s="576">
        <f>AO103/AO63</f>
        <v>0.24825990544799653</v>
      </c>
      <c r="AP169" s="1021">
        <v>0.26800000000000002</v>
      </c>
      <c r="AQ169" s="913">
        <v>0.23200000000000001</v>
      </c>
      <c r="AR169" s="913">
        <v>0.247</v>
      </c>
      <c r="AS169" s="913">
        <v>0.251</v>
      </c>
      <c r="AT169" s="576">
        <f>AT103/AT63</f>
        <v>0.2495886429258902</v>
      </c>
      <c r="AU169" s="1021">
        <v>0.245</v>
      </c>
      <c r="AV169" s="913">
        <v>0.24</v>
      </c>
      <c r="AW169" s="913">
        <v>0.23</v>
      </c>
      <c r="AX169" s="913">
        <v>0.225</v>
      </c>
      <c r="AY169" s="576">
        <f t="shared" si="646"/>
        <v>0.22567706502636192</v>
      </c>
      <c r="AZ169" s="1021">
        <v>0.23</v>
      </c>
      <c r="BA169" s="913">
        <v>0.21099999999999999</v>
      </c>
      <c r="BB169" s="913">
        <v>0.205</v>
      </c>
      <c r="BC169" s="913">
        <v>0.21199999999999999</v>
      </c>
      <c r="BD169" s="576">
        <f t="shared" si="647"/>
        <v>0.21185937623998091</v>
      </c>
      <c r="BE169" s="1021">
        <v>0.21</v>
      </c>
      <c r="BF169" s="913">
        <v>0.20599999999999999</v>
      </c>
      <c r="BG169" s="913">
        <v>0.21299999999999999</v>
      </c>
      <c r="BH169" s="914">
        <v>0.215</v>
      </c>
      <c r="BI169" s="576">
        <f>BI103/BI63</f>
        <v>0.23284958775589293</v>
      </c>
      <c r="BJ169" s="1014">
        <f t="shared" si="648"/>
        <v>0.2169619337950574</v>
      </c>
      <c r="BK169" s="576">
        <f>BK103/BK63</f>
        <v>0.23183077454275994</v>
      </c>
      <c r="BL169" s="576">
        <f>BL103/BL63</f>
        <v>0.23194832281785951</v>
      </c>
      <c r="BM169" s="576">
        <f>BM103/BM63</f>
        <v>0.23319627424797423</v>
      </c>
      <c r="BN169" s="576">
        <f>BN103/BN63</f>
        <v>0.2327233720186945</v>
      </c>
      <c r="BO169" s="1014">
        <f t="shared" si="649"/>
        <v>0.23243821596434308</v>
      </c>
      <c r="BP169" s="1014">
        <f>BP103/BP63</f>
        <v>0.23308560004962489</v>
      </c>
      <c r="BQ169" s="1014">
        <f>BQ103/BQ63</f>
        <v>0.23304879098381667</v>
      </c>
      <c r="BR169" s="1014">
        <f>BR103/BR63</f>
        <v>0.233026318835859</v>
      </c>
      <c r="BS169" s="47"/>
    </row>
    <row r="170" spans="1:71" s="25" customFormat="1" ht="15">
      <c r="A170" s="392" t="s">
        <v>637</v>
      </c>
      <c r="B170" s="488"/>
      <c r="C170" s="979">
        <f t="shared" si="650" ref="C170:AP170">ROUND(INDEX(MO_UI_OOE,0,COLUMN())/INDEX(MO_UI_NEP,0,COLUMN()),6)</f>
        <v>0.246277</v>
      </c>
      <c r="D170" s="1015">
        <f t="shared" si="650"/>
        <v>0.25117299999999998</v>
      </c>
      <c r="E170" s="1015">
        <f t="shared" si="650"/>
        <v>0.25715399999999999</v>
      </c>
      <c r="F170" s="1015">
        <f t="shared" si="650"/>
        <v>0.264075</v>
      </c>
      <c r="G170" s="1015">
        <f t="shared" si="650"/>
        <v>0.271036</v>
      </c>
      <c r="H170" s="158">
        <f t="shared" si="650"/>
        <v>0.27300000000000002</v>
      </c>
      <c r="I170" s="158">
        <f t="shared" si="650"/>
        <v>0.26013900000000001</v>
      </c>
      <c r="J170" s="158">
        <f t="shared" si="650"/>
        <v>0.26310099999999997</v>
      </c>
      <c r="K170" s="158">
        <f t="shared" si="650"/>
        <v>0.27748600000000001</v>
      </c>
      <c r="L170" s="1015">
        <f t="shared" si="650"/>
        <v>0.267094</v>
      </c>
      <c r="M170" s="158">
        <f t="shared" si="650"/>
        <v>0.26513500000000001</v>
      </c>
      <c r="N170" s="158">
        <f t="shared" si="650"/>
        <v>0.26100000000000001</v>
      </c>
      <c r="O170" s="158">
        <f t="shared" si="650"/>
        <v>0.24913099999999999</v>
      </c>
      <c r="P170" s="158">
        <f t="shared" si="650"/>
        <v>0.225714</v>
      </c>
      <c r="Q170" s="1015">
        <f t="shared" si="650"/>
        <v>0.24906600000000001</v>
      </c>
      <c r="R170" s="158">
        <f t="shared" si="650"/>
        <v>0.24813199999999999</v>
      </c>
      <c r="S170" s="158">
        <f t="shared" si="650"/>
        <v>0.253</v>
      </c>
      <c r="T170" s="158">
        <f t="shared" si="650"/>
        <v>0.24912999999999999</v>
      </c>
      <c r="U170" s="158">
        <f t="shared" si="650"/>
        <v>0.23017399999999999</v>
      </c>
      <c r="V170" s="1015">
        <f t="shared" si="650"/>
        <v>0.24506500000000001</v>
      </c>
      <c r="W170" s="158">
        <f t="shared" si="650"/>
        <v>0.24299999999999999</v>
      </c>
      <c r="X170" s="158">
        <f t="shared" si="650"/>
        <v>0.247256</v>
      </c>
      <c r="Y170" s="158">
        <f t="shared" si="650"/>
        <v>0.25</v>
      </c>
      <c r="Z170" s="158">
        <f t="shared" si="650"/>
        <v>0.259878</v>
      </c>
      <c r="AA170" s="1015">
        <f t="shared" si="650"/>
        <v>0.25009500000000001</v>
      </c>
      <c r="AB170" s="158">
        <f t="shared" si="650"/>
        <v>0.246</v>
      </c>
      <c r="AC170" s="158">
        <f t="shared" si="650"/>
        <v>0.25012200000000001</v>
      </c>
      <c r="AD170" s="158">
        <f t="shared" si="650"/>
        <v>0.252</v>
      </c>
      <c r="AE170" s="158">
        <f t="shared" si="650"/>
        <v>0.25598300000000002</v>
      </c>
      <c r="AF170" s="1015">
        <f t="shared" si="650"/>
        <v>0.25109100000000001</v>
      </c>
      <c r="AG170" s="158">
        <f t="shared" si="650"/>
        <v>0.244118</v>
      </c>
      <c r="AH170" s="158">
        <f t="shared" si="650"/>
        <v>0.235</v>
      </c>
      <c r="AI170" s="158">
        <f t="shared" si="650"/>
        <v>0.23711399999999999</v>
      </c>
      <c r="AJ170" s="158">
        <f t="shared" si="650"/>
        <v>0.24806600000000001</v>
      </c>
      <c r="AK170" s="1015">
        <f t="shared" si="650"/>
        <v>0.24108599999999999</v>
      </c>
      <c r="AL170" s="158">
        <f>ROUND(INDEX(MO_UI_OOE,0,COLUMN())/INDEX(MO_UI_NEP,0,COLUMN()),6)</f>
        <v>0.25711299999999998</v>
      </c>
      <c r="AM170" s="158">
        <f>ROUND(INDEX(MO_UI_OOE,0,COLUMN())/INDEX(MO_UI_NEP,0,COLUMN()),6)</f>
        <v>0.31811299999999998</v>
      </c>
      <c r="AN170" s="158">
        <f>ROUND(INDEX(MO_UI_OOE,0,COLUMN())/INDEX(MO_UI_NEP,0,COLUMN()),6)</f>
        <v>0.249</v>
      </c>
      <c r="AO170" s="158">
        <f t="shared" si="650"/>
        <v>0.24837200000000001</v>
      </c>
      <c r="AP170" s="1015">
        <f t="shared" si="650"/>
        <v>0.26808399999999999</v>
      </c>
      <c r="AQ170" s="158">
        <f t="shared" si="651" ref="AQ170:AV170">ROUND(INDEX(MO_UI_OOE,0,COLUMN())/INDEX(MO_UI_NEP,0,COLUMN()),6)</f>
        <v>0.23220199999999999</v>
      </c>
      <c r="AR170" s="158">
        <f t="shared" si="651"/>
        <v>0.24709999999999999</v>
      </c>
      <c r="AS170" s="158">
        <f t="shared" si="651"/>
        <v>0.251</v>
      </c>
      <c r="AT170" s="158">
        <f t="shared" si="651"/>
        <v>0.24968499999999999</v>
      </c>
      <c r="AU170" s="1015">
        <f t="shared" si="651"/>
        <v>0.24509900000000001</v>
      </c>
      <c r="AV170" s="158">
        <f t="shared" si="651"/>
        <v>0.240095</v>
      </c>
      <c r="AW170" s="158">
        <f t="shared" si="652" ref="AW170:BJ170">ROUND(INDEX(MO_UI_OOE,0,COLUMN())/INDEX(MO_UI_NEP,0,COLUMN()),6)</f>
        <v>0.23</v>
      </c>
      <c r="AX170" s="158">
        <f t="shared" si="652"/>
        <v>0.22517899999999999</v>
      </c>
      <c r="AY170" s="393">
        <f t="shared" si="652"/>
        <v>0.22576499999999999</v>
      </c>
      <c r="AZ170" s="1016">
        <f t="shared" si="652"/>
        <v>0.23009099999999999</v>
      </c>
      <c r="BA170" s="158">
        <f t="shared" si="653" ref="BA170:BI170">ROUND(INDEX(MO_UI_OOE,0,COLUMN())/INDEX(MO_UI_NEP,0,COLUMN()),6)</f>
        <v>0.211086</v>
      </c>
      <c r="BB170" s="158">
        <f t="shared" si="653"/>
        <v>0.20508399999999999</v>
      </c>
      <c r="BC170" s="158">
        <f t="shared" si="653"/>
        <v>0.21208099999999999</v>
      </c>
      <c r="BD170" s="393">
        <f t="shared" si="652"/>
        <v>0.21201800000000001</v>
      </c>
      <c r="BE170" s="1016">
        <f>ROUND(INDEX(MO_UI_OOE,0,COLUMN())/INDEX(MO_UI_NEP,0,COLUMN()),6)</f>
        <v>0.21010300000000001</v>
      </c>
      <c r="BF170" s="158">
        <f t="shared" si="653"/>
        <v>0.20607800000000001</v>
      </c>
      <c r="BG170" s="158">
        <f>ROUND(INDEX(MO_UI_OOE,0,COLUMN())/INDEX(MO_UI_NEP,0,COLUMN()),6)</f>
        <v>0.21307499999999999</v>
      </c>
      <c r="BH170" s="750">
        <f>ROUND(INDEX(MO_UI_OOE,0,COLUMN())/INDEX(MO_UI_NEP,0,COLUMN()),6)</f>
        <v>0.21507299999999999</v>
      </c>
      <c r="BI170" s="393">
        <f t="shared" si="653"/>
        <v>0.23285</v>
      </c>
      <c r="BJ170" s="1016">
        <f t="shared" si="652"/>
        <v>0.21701799999999999</v>
      </c>
      <c r="BK170" s="393">
        <f t="shared" si="654" ref="BK170:BR170">ROUND(INDEX(MO_UI_OOE,0,COLUMN())/INDEX(MO_UI_NEP,0,COLUMN()),6)</f>
        <v>0.23183100000000001</v>
      </c>
      <c r="BL170" s="393">
        <f t="shared" si="654"/>
        <v>0.23194799999999999</v>
      </c>
      <c r="BM170" s="393">
        <f t="shared" si="654"/>
        <v>0.23319599999999999</v>
      </c>
      <c r="BN170" s="393">
        <f t="shared" si="654"/>
        <v>0.23272300000000001</v>
      </c>
      <c r="BO170" s="1016">
        <f t="shared" si="654"/>
        <v>0.23243800000000001</v>
      </c>
      <c r="BP170" s="1016">
        <f t="shared" si="654"/>
        <v>0.23308599999999999</v>
      </c>
      <c r="BQ170" s="1016">
        <f t="shared" si="654"/>
        <v>0.23304900000000001</v>
      </c>
      <c r="BR170" s="1016">
        <f t="shared" si="654"/>
        <v>0.23302600000000001</v>
      </c>
      <c r="BS170" s="158"/>
    </row>
    <row r="171" spans="1:71" s="25" customFormat="1" ht="15">
      <c r="A171" s="490"/>
      <c r="B171" s="488"/>
      <c r="C171" s="977"/>
      <c r="D171" s="1016"/>
      <c r="E171" s="1016"/>
      <c r="F171" s="1016"/>
      <c r="G171" s="1016"/>
      <c r="H171" s="393"/>
      <c r="I171" s="393"/>
      <c r="J171" s="393"/>
      <c r="K171" s="393"/>
      <c r="L171" s="1016"/>
      <c r="M171" s="393"/>
      <c r="N171" s="393"/>
      <c r="O171" s="393"/>
      <c r="P171" s="393"/>
      <c r="Q171" s="1016"/>
      <c r="R171" s="393"/>
      <c r="S171" s="393"/>
      <c r="T171" s="393"/>
      <c r="U171" s="393"/>
      <c r="V171" s="1016"/>
      <c r="W171" s="393"/>
      <c r="X171" s="393"/>
      <c r="Y171" s="393"/>
      <c r="Z171" s="393"/>
      <c r="AA171" s="1016"/>
      <c r="AB171" s="393"/>
      <c r="AC171" s="393"/>
      <c r="AD171" s="393"/>
      <c r="AE171" s="393"/>
      <c r="AF171" s="1016"/>
      <c r="AG171" s="393"/>
      <c r="AH171" s="393"/>
      <c r="AI171" s="393"/>
      <c r="AJ171" s="393"/>
      <c r="AK171" s="1016"/>
      <c r="AL171" s="393"/>
      <c r="AM171" s="393"/>
      <c r="AN171" s="393"/>
      <c r="AO171" s="393"/>
      <c r="AP171" s="1016"/>
      <c r="AQ171" s="393"/>
      <c r="AR171" s="393"/>
      <c r="AS171" s="393"/>
      <c r="AT171" s="393"/>
      <c r="AU171" s="1016"/>
      <c r="AV171" s="393"/>
      <c r="AW171" s="393"/>
      <c r="AX171" s="393"/>
      <c r="AY171" s="393"/>
      <c r="AZ171" s="1016"/>
      <c r="BA171" s="393"/>
      <c r="BB171" s="393"/>
      <c r="BC171" s="393"/>
      <c r="BD171" s="393"/>
      <c r="BE171" s="1016"/>
      <c r="BF171" s="393"/>
      <c r="BG171" s="393"/>
      <c r="BH171" s="751"/>
      <c r="BI171" s="393"/>
      <c r="BJ171" s="1016"/>
      <c r="BK171" s="393"/>
      <c r="BL171" s="393"/>
      <c r="BM171" s="393"/>
      <c r="BN171" s="393"/>
      <c r="BO171" s="1016"/>
      <c r="BP171" s="1016"/>
      <c r="BQ171" s="1016"/>
      <c r="BR171" s="1016"/>
      <c r="BS171" s="158"/>
    </row>
    <row r="172" spans="1:71" s="24" customFormat="1" ht="15">
      <c r="A172" s="568" t="s">
        <v>768</v>
      </c>
      <c r="B172" s="231"/>
      <c r="C172" s="970">
        <f t="shared" si="655" ref="C172:AH172">C141+C164</f>
        <v>0</v>
      </c>
      <c r="D172" s="1011">
        <f t="shared" si="655"/>
        <v>0</v>
      </c>
      <c r="E172" s="1011">
        <f t="shared" si="655"/>
        <v>0</v>
      </c>
      <c r="F172" s="1011">
        <f t="shared" si="655"/>
        <v>0</v>
      </c>
      <c r="G172" s="1011">
        <f t="shared" si="655"/>
        <v>0</v>
      </c>
      <c r="H172" s="130">
        <f t="shared" si="655"/>
        <v>0</v>
      </c>
      <c r="I172" s="130">
        <f t="shared" si="655"/>
        <v>0</v>
      </c>
      <c r="J172" s="130">
        <f t="shared" si="655"/>
        <v>0</v>
      </c>
      <c r="K172" s="130">
        <f t="shared" si="655"/>
        <v>0</v>
      </c>
      <c r="L172" s="1011">
        <f t="shared" si="655"/>
        <v>0</v>
      </c>
      <c r="M172" s="130">
        <f t="shared" si="655"/>
        <v>0</v>
      </c>
      <c r="N172" s="130">
        <f t="shared" si="655"/>
        <v>0</v>
      </c>
      <c r="O172" s="130">
        <f t="shared" si="655"/>
        <v>0</v>
      </c>
      <c r="P172" s="130">
        <f t="shared" si="655"/>
        <v>0</v>
      </c>
      <c r="Q172" s="1011">
        <f t="shared" si="655"/>
        <v>0.999</v>
      </c>
      <c r="R172" s="130">
        <f t="shared" si="655"/>
        <v>0.997</v>
      </c>
      <c r="S172" s="130">
        <f t="shared" si="655"/>
        <v>1.016</v>
      </c>
      <c r="T172" s="130">
        <f t="shared" si="655"/>
        <v>0.996</v>
      </c>
      <c r="U172" s="130">
        <f t="shared" si="655"/>
        <v>0.96347780872794808</v>
      </c>
      <c r="V172" s="1011">
        <f t="shared" si="655"/>
        <v>0.99299999999999999</v>
      </c>
      <c r="W172" s="130">
        <f t="shared" si="655"/>
        <v>0.91700000000000004</v>
      </c>
      <c r="X172" s="130">
        <f t="shared" si="655"/>
        <v>0.965</v>
      </c>
      <c r="Y172" s="130">
        <f t="shared" si="655"/>
        <v>0.95399999999999996</v>
      </c>
      <c r="Z172" s="130">
        <f t="shared" si="655"/>
        <v>0.92790091875337755</v>
      </c>
      <c r="AA172" s="1011">
        <f t="shared" si="655"/>
        <v>0.94099999999999995</v>
      </c>
      <c r="AB172" s="130">
        <f t="shared" si="655"/>
        <v>0.89</v>
      </c>
      <c r="AC172" s="130">
        <f t="shared" si="655"/>
        <v>0.93</v>
      </c>
      <c r="AD172" s="130">
        <f t="shared" si="655"/>
        <v>0.93200000000000005</v>
      </c>
      <c r="AE172" s="130">
        <f t="shared" si="655"/>
        <v>0.93481347855684116</v>
      </c>
      <c r="AF172" s="1011">
        <f t="shared" si="655"/>
        <v>0.92200000000000004</v>
      </c>
      <c r="AG172" s="130">
        <f t="shared" si="655"/>
        <v>0.91400000000000003</v>
      </c>
      <c r="AH172" s="130">
        <f t="shared" si="655"/>
        <v>0.93399999999999994</v>
      </c>
      <c r="AI172" s="130">
        <f t="shared" si="656" ref="AI172:AU172">AI141+AI164</f>
        <v>0.93099999999999994</v>
      </c>
      <c r="AJ172" s="130">
        <f t="shared" si="656"/>
        <v>0.94052580172554112</v>
      </c>
      <c r="AK172" s="1011">
        <f t="shared" si="656"/>
        <v>0.93</v>
      </c>
      <c r="AL172" s="130">
        <f t="shared" si="656"/>
        <v>0.89300000000000002</v>
      </c>
      <c r="AM172" s="130">
        <f t="shared" si="656"/>
        <v>0.83799999999999997</v>
      </c>
      <c r="AN172" s="130">
        <f t="shared" si="656"/>
        <v>0.85399999999999998</v>
      </c>
      <c r="AO172" s="130">
        <f t="shared" si="656"/>
        <v>0.855072751106013</v>
      </c>
      <c r="AP172" s="1011">
        <f t="shared" si="656"/>
        <v>0.85999999999999988</v>
      </c>
      <c r="AQ172" s="130">
        <f t="shared" si="656"/>
        <v>0.805</v>
      </c>
      <c r="AR172" s="130">
        <f t="shared" si="656"/>
        <v>0.94300000000000006</v>
      </c>
      <c r="AS172" s="130">
        <f t="shared" si="656"/>
        <v>1.0230000000000001</v>
      </c>
      <c r="AT172" s="130">
        <f t="shared" si="656"/>
        <v>1.0413808234791277</v>
      </c>
      <c r="AU172" s="1011">
        <f t="shared" si="656"/>
        <v>0.95399999999999996</v>
      </c>
      <c r="AV172" s="130">
        <f t="shared" si="657" ref="AV172:AZ172">AV141+AV164</f>
        <v>1.0209999999999999</v>
      </c>
      <c r="AW172" s="130">
        <f t="shared" si="657"/>
        <v>1.079</v>
      </c>
      <c r="AX172" s="130">
        <f t="shared" si="657"/>
        <v>1.1739999999999999</v>
      </c>
      <c r="AY172" s="130">
        <f t="shared" si="657"/>
        <v>1.1272123756620593</v>
      </c>
      <c r="AZ172" s="1011">
        <f t="shared" si="657"/>
        <v>1.101</v>
      </c>
      <c r="BA172" s="130">
        <f t="shared" si="658" ref="BA172:BR172">BA141+BA164</f>
        <v>1.044</v>
      </c>
      <c r="BB172" s="130">
        <f t="shared" si="658"/>
        <v>1.083</v>
      </c>
      <c r="BC172" s="130">
        <f t="shared" si="658"/>
        <v>1.0209999999999999</v>
      </c>
      <c r="BD172" s="130">
        <f t="shared" si="658"/>
        <v>0.98822916180247478</v>
      </c>
      <c r="BE172" s="1011">
        <f t="shared" si="658"/>
        <v>1.034</v>
      </c>
      <c r="BF172" s="130">
        <f>BF141+BF164</f>
        <v>0.96</v>
      </c>
      <c r="BG172" s="130">
        <f>BG141+BG164</f>
        <v>0.95899999999999996</v>
      </c>
      <c r="BH172" s="748">
        <f>BH141+BH164</f>
        <v>0.94799999999999995</v>
      </c>
      <c r="BI172" s="130">
        <f t="shared" si="658"/>
        <v>0.92900000000000005</v>
      </c>
      <c r="BJ172" s="1011">
        <f t="shared" si="658"/>
        <v>0.94858978822842432</v>
      </c>
      <c r="BK172" s="130">
        <f t="shared" si="658"/>
        <v>0.92899999999999994</v>
      </c>
      <c r="BL172" s="130">
        <f t="shared" si="658"/>
        <v>1.0190000000000001</v>
      </c>
      <c r="BM172" s="130">
        <f t="shared" si="658"/>
        <v>0.97899999999999998</v>
      </c>
      <c r="BN172" s="130">
        <f t="shared" si="658"/>
        <v>0.90900000000000003</v>
      </c>
      <c r="BO172" s="1011">
        <f t="shared" si="658"/>
        <v>0.95845467360055836</v>
      </c>
      <c r="BP172" s="1011">
        <f t="shared" si="658"/>
        <v>0.93899999999999995</v>
      </c>
      <c r="BQ172" s="1011">
        <f t="shared" si="658"/>
        <v>0.93899999999999995</v>
      </c>
      <c r="BR172" s="1011">
        <f t="shared" si="658"/>
        <v>0.93899999999999995</v>
      </c>
      <c r="BS172" s="47"/>
    </row>
    <row r="173" spans="1:71" s="24" customFormat="1" ht="15">
      <c r="A173" s="568" t="s">
        <v>769</v>
      </c>
      <c r="B173" s="231"/>
      <c r="C173" s="970">
        <f t="shared" si="659" ref="C173:AH173">C147+C165</f>
        <v>0</v>
      </c>
      <c r="D173" s="1011">
        <f t="shared" si="659"/>
        <v>0</v>
      </c>
      <c r="E173" s="1011">
        <f t="shared" si="659"/>
        <v>0</v>
      </c>
      <c r="F173" s="1011">
        <f t="shared" si="659"/>
        <v>0</v>
      </c>
      <c r="G173" s="1011">
        <f t="shared" si="659"/>
        <v>0</v>
      </c>
      <c r="H173" s="130">
        <f t="shared" si="659"/>
        <v>0</v>
      </c>
      <c r="I173" s="130">
        <f t="shared" si="659"/>
        <v>0</v>
      </c>
      <c r="J173" s="130">
        <f t="shared" si="659"/>
        <v>0</v>
      </c>
      <c r="K173" s="130">
        <f t="shared" si="659"/>
        <v>0</v>
      </c>
      <c r="L173" s="1011">
        <f t="shared" si="659"/>
        <v>0</v>
      </c>
      <c r="M173" s="130">
        <f t="shared" si="659"/>
        <v>0</v>
      </c>
      <c r="N173" s="130">
        <f t="shared" si="659"/>
        <v>0</v>
      </c>
      <c r="O173" s="130">
        <f t="shared" si="659"/>
        <v>0</v>
      </c>
      <c r="P173" s="130">
        <f t="shared" si="659"/>
        <v>0</v>
      </c>
      <c r="Q173" s="1011">
        <f t="shared" si="659"/>
        <v>0.79899999999999993</v>
      </c>
      <c r="R173" s="130">
        <f t="shared" si="659"/>
        <v>0.94099999999999995</v>
      </c>
      <c r="S173" s="130">
        <f t="shared" si="659"/>
        <v>0.98599999999999999</v>
      </c>
      <c r="T173" s="130">
        <f t="shared" si="659"/>
        <v>0.78200000000000003</v>
      </c>
      <c r="U173" s="130">
        <f t="shared" si="659"/>
        <v>0.69950412314458488</v>
      </c>
      <c r="V173" s="1011">
        <f t="shared" si="659"/>
        <v>0.85199999999999998</v>
      </c>
      <c r="W173" s="130">
        <f t="shared" si="659"/>
        <v>0.96</v>
      </c>
      <c r="X173" s="130">
        <f t="shared" si="659"/>
        <v>0.98699999999999999</v>
      </c>
      <c r="Y173" s="130">
        <f t="shared" si="659"/>
        <v>0.81699999999999995</v>
      </c>
      <c r="Z173" s="130">
        <f t="shared" si="659"/>
        <v>0.87746266233766246</v>
      </c>
      <c r="AA173" s="1011">
        <f t="shared" si="659"/>
        <v>0.91</v>
      </c>
      <c r="AB173" s="130">
        <f t="shared" si="659"/>
        <v>0.815</v>
      </c>
      <c r="AC173" s="130">
        <f t="shared" si="659"/>
        <v>0.99199999999999999</v>
      </c>
      <c r="AD173" s="130">
        <f t="shared" si="659"/>
        <v>0.89</v>
      </c>
      <c r="AE173" s="130">
        <f t="shared" si="659"/>
        <v>1.0437377220480668</v>
      </c>
      <c r="AF173" s="1011">
        <f t="shared" si="659"/>
        <v>0.93599999999999994</v>
      </c>
      <c r="AG173" s="130">
        <f t="shared" si="659"/>
        <v>0.92699999999999994</v>
      </c>
      <c r="AH173" s="130">
        <f t="shared" si="659"/>
        <v>1.0449999999999999</v>
      </c>
      <c r="AI173" s="130">
        <f t="shared" si="660" ref="AI173:AU173">AI147+AI165</f>
        <v>0.825</v>
      </c>
      <c r="AJ173" s="130">
        <f t="shared" si="660"/>
        <v>0.74521661721068266</v>
      </c>
      <c r="AK173" s="1011">
        <f t="shared" si="660"/>
        <v>0.88400000000000001</v>
      </c>
      <c r="AL173" s="130">
        <f t="shared" si="660"/>
        <v>0.715</v>
      </c>
      <c r="AM173" s="130">
        <f t="shared" si="660"/>
        <v>1.0680000000000001</v>
      </c>
      <c r="AN173" s="130">
        <f t="shared" si="660"/>
        <v>1.032</v>
      </c>
      <c r="AO173" s="130">
        <f t="shared" si="660"/>
        <v>0.78427607655502429</v>
      </c>
      <c r="AP173" s="1011">
        <f t="shared" si="660"/>
        <v>0.90</v>
      </c>
      <c r="AQ173" s="130">
        <f t="shared" si="660"/>
        <v>0.88800000000000001</v>
      </c>
      <c r="AR173" s="130">
        <f t="shared" si="660"/>
        <v>1.0030000000000001</v>
      </c>
      <c r="AS173" s="130">
        <f t="shared" si="660"/>
        <v>1.1099999999999999</v>
      </c>
      <c r="AT173" s="130">
        <f t="shared" si="660"/>
        <v>0.8714784780937741</v>
      </c>
      <c r="AU173" s="1011">
        <f t="shared" si="660"/>
        <v>0.96799999999999997</v>
      </c>
      <c r="AV173" s="130">
        <f t="shared" si="661" ref="AV173:AZ173">AV147+AV165</f>
        <v>0.83899999999999997</v>
      </c>
      <c r="AW173" s="130">
        <f t="shared" si="661"/>
        <v>1.075</v>
      </c>
      <c r="AX173" s="130">
        <f t="shared" si="661"/>
        <v>0.89900000000000002</v>
      </c>
      <c r="AY173" s="130">
        <f t="shared" si="661"/>
        <v>0.92794485294117646</v>
      </c>
      <c r="AZ173" s="1011">
        <f t="shared" si="661"/>
        <v>0.93599999999999994</v>
      </c>
      <c r="BA173" s="130">
        <f t="shared" si="662" ref="BA173:BR173">BA147+BA165</f>
        <v>1.1899999999999999</v>
      </c>
      <c r="BB173" s="130">
        <f t="shared" si="662"/>
        <v>1.4530000000000001</v>
      </c>
      <c r="BC173" s="130">
        <f t="shared" si="662"/>
        <v>1.044</v>
      </c>
      <c r="BD173" s="130">
        <f t="shared" si="662"/>
        <v>0.62073610659733502</v>
      </c>
      <c r="BE173" s="1011">
        <f t="shared" si="662"/>
        <v>1.0680000000000001</v>
      </c>
      <c r="BF173" s="130">
        <f>BF147+BF165</f>
        <v>0.82099999999999995</v>
      </c>
      <c r="BG173" s="130">
        <f>BG147+BG165</f>
        <v>1.115</v>
      </c>
      <c r="BH173" s="748">
        <f>BH147+BH165</f>
        <v>0.98199999999999998</v>
      </c>
      <c r="BI173" s="130">
        <f t="shared" si="662"/>
        <v>0.89499999999999991</v>
      </c>
      <c r="BJ173" s="1011">
        <f t="shared" si="662"/>
        <v>0.95613204235413218</v>
      </c>
      <c r="BK173" s="130">
        <f t="shared" si="662"/>
        <v>0.89000000000000012</v>
      </c>
      <c r="BL173" s="130">
        <f t="shared" si="662"/>
        <v>0.89</v>
      </c>
      <c r="BM173" s="130">
        <f t="shared" si="662"/>
        <v>0.89499999999999991</v>
      </c>
      <c r="BN173" s="130">
        <f t="shared" si="662"/>
        <v>0.89499999999999991</v>
      </c>
      <c r="BO173" s="1011">
        <f t="shared" si="662"/>
        <v>0.89256183412198453</v>
      </c>
      <c r="BP173" s="1011">
        <f t="shared" si="662"/>
        <v>0.895</v>
      </c>
      <c r="BQ173" s="1011">
        <f t="shared" si="662"/>
        <v>0.89500000000000013</v>
      </c>
      <c r="BR173" s="1011">
        <f t="shared" si="662"/>
        <v>0.895</v>
      </c>
      <c r="BS173" s="47"/>
    </row>
    <row r="174" spans="1:71" s="24" customFormat="1" ht="15">
      <c r="A174" s="568" t="s">
        <v>770</v>
      </c>
      <c r="B174" s="231"/>
      <c r="C174" s="970">
        <f t="shared" si="663" ref="C174:AH174">C153+C166</f>
        <v>0</v>
      </c>
      <c r="D174" s="1011">
        <f t="shared" si="663"/>
        <v>0</v>
      </c>
      <c r="E174" s="1011">
        <f t="shared" si="663"/>
        <v>0</v>
      </c>
      <c r="F174" s="1011">
        <f t="shared" si="663"/>
        <v>0</v>
      </c>
      <c r="G174" s="1011">
        <f t="shared" si="663"/>
        <v>0</v>
      </c>
      <c r="H174" s="130">
        <f t="shared" si="663"/>
        <v>0</v>
      </c>
      <c r="I174" s="130">
        <f t="shared" si="663"/>
        <v>0</v>
      </c>
      <c r="J174" s="130">
        <f t="shared" si="663"/>
        <v>0</v>
      </c>
      <c r="K174" s="130">
        <f t="shared" si="663"/>
        <v>0</v>
      </c>
      <c r="L174" s="1011">
        <f t="shared" si="663"/>
        <v>0</v>
      </c>
      <c r="M174" s="130">
        <f t="shared" si="663"/>
        <v>0</v>
      </c>
      <c r="N174" s="130">
        <f t="shared" si="663"/>
        <v>0</v>
      </c>
      <c r="O174" s="130">
        <f t="shared" si="663"/>
        <v>0</v>
      </c>
      <c r="P174" s="130">
        <f t="shared" si="663"/>
        <v>0</v>
      </c>
      <c r="Q174" s="1011">
        <f t="shared" si="663"/>
        <v>0.89700000000000002</v>
      </c>
      <c r="R174" s="130">
        <f t="shared" si="663"/>
        <v>0.96</v>
      </c>
      <c r="S174" s="130">
        <f t="shared" si="663"/>
        <v>0.91300000000000003</v>
      </c>
      <c r="T174" s="130">
        <f t="shared" si="663"/>
        <v>0.88300000000000001</v>
      </c>
      <c r="U174" s="130">
        <f t="shared" si="663"/>
        <v>0.86892773892773922</v>
      </c>
      <c r="V174" s="1011">
        <f t="shared" si="663"/>
        <v>0.90600000000000003</v>
      </c>
      <c r="W174" s="130">
        <f t="shared" si="663"/>
        <v>0.94200000000000006</v>
      </c>
      <c r="X174" s="130">
        <f t="shared" si="663"/>
        <v>0.89900000000000002</v>
      </c>
      <c r="Y174" s="130">
        <f t="shared" si="663"/>
        <v>1.034</v>
      </c>
      <c r="Z174" s="130">
        <f t="shared" si="663"/>
        <v>0.84202252252252241</v>
      </c>
      <c r="AA174" s="1011">
        <f t="shared" si="663"/>
        <v>0.92900000000000005</v>
      </c>
      <c r="AB174" s="130">
        <f t="shared" si="663"/>
        <v>0.88700000000000001</v>
      </c>
      <c r="AC174" s="130">
        <f t="shared" si="663"/>
        <v>0.85699999999999998</v>
      </c>
      <c r="AD174" s="130">
        <f t="shared" si="663"/>
        <v>0.97099999999999997</v>
      </c>
      <c r="AE174" s="130">
        <f t="shared" si="663"/>
        <v>1.0399647577092517</v>
      </c>
      <c r="AF174" s="1011">
        <f t="shared" si="663"/>
        <v>0.93900000000000006</v>
      </c>
      <c r="AG174" s="130">
        <f t="shared" si="663"/>
        <v>0.92800000000000005</v>
      </c>
      <c r="AH174" s="130">
        <f t="shared" si="663"/>
        <v>0.89800000000000002</v>
      </c>
      <c r="AI174" s="130">
        <f t="shared" si="664" ref="AI174:AU174">AI153+AI166</f>
        <v>0.89300000000000002</v>
      </c>
      <c r="AJ174" s="130">
        <f t="shared" si="664"/>
        <v>0.80262208067940555</v>
      </c>
      <c r="AK174" s="1011">
        <f t="shared" si="664"/>
        <v>0.88</v>
      </c>
      <c r="AL174" s="130">
        <f t="shared" si="664"/>
        <v>0.80900000000000005</v>
      </c>
      <c r="AM174" s="130">
        <f t="shared" si="664"/>
        <v>0.91</v>
      </c>
      <c r="AN174" s="130">
        <f t="shared" si="664"/>
        <v>0.91399999999999992</v>
      </c>
      <c r="AO174" s="130">
        <f t="shared" si="664"/>
        <v>0.81395661157024801</v>
      </c>
      <c r="AP174" s="1011">
        <f t="shared" si="664"/>
        <v>0.86199999999999999</v>
      </c>
      <c r="AQ174" s="130">
        <f t="shared" si="664"/>
        <v>0.935</v>
      </c>
      <c r="AR174" s="130">
        <f t="shared" si="664"/>
        <v>0.925</v>
      </c>
      <c r="AS174" s="130">
        <f t="shared" si="664"/>
        <v>0.92300000000000004</v>
      </c>
      <c r="AT174" s="130">
        <f t="shared" si="664"/>
        <v>0.77301315789473679</v>
      </c>
      <c r="AU174" s="1011">
        <f t="shared" si="664"/>
        <v>0.88800000000000001</v>
      </c>
      <c r="AV174" s="130">
        <f t="shared" si="665" ref="AV174:AZ174">AV153+AV166</f>
        <v>0.96599999999999997</v>
      </c>
      <c r="AW174" s="130">
        <f t="shared" si="665"/>
        <v>0.98</v>
      </c>
      <c r="AX174" s="130">
        <f t="shared" si="665"/>
        <v>1.0190000000000001</v>
      </c>
      <c r="AY174" s="130">
        <f t="shared" si="665"/>
        <v>1.1974456721915288</v>
      </c>
      <c r="AZ174" s="1011">
        <f t="shared" si="665"/>
        <v>1.0409999999999999</v>
      </c>
      <c r="BA174" s="130">
        <f t="shared" si="666" ref="BA174:BR174">BA153+BA166</f>
        <v>1.1579999999999999</v>
      </c>
      <c r="BB174" s="130">
        <f t="shared" si="666"/>
        <v>1.119</v>
      </c>
      <c r="BC174" s="130">
        <f t="shared" si="666"/>
        <v>0.99</v>
      </c>
      <c r="BD174" s="130">
        <f t="shared" si="666"/>
        <v>0.81844920634920604</v>
      </c>
      <c r="BE174" s="1011">
        <f t="shared" si="666"/>
        <v>1.016</v>
      </c>
      <c r="BF174" s="130">
        <f>BF153+BF166</f>
        <v>0.98899999999999999</v>
      </c>
      <c r="BG174" s="130">
        <f>BG153+BG166</f>
        <v>1.0780000000000001</v>
      </c>
      <c r="BH174" s="748">
        <f>BH153+BH166</f>
        <v>1.0249999999999999</v>
      </c>
      <c r="BI174" s="130">
        <f t="shared" si="666"/>
        <v>0.89499999999999991</v>
      </c>
      <c r="BJ174" s="1011">
        <f t="shared" si="666"/>
        <v>1.0017968002651381</v>
      </c>
      <c r="BK174" s="130">
        <f t="shared" si="666"/>
        <v>0.895</v>
      </c>
      <c r="BL174" s="130">
        <f t="shared" si="666"/>
        <v>0.895</v>
      </c>
      <c r="BM174" s="130">
        <f t="shared" si="666"/>
        <v>0.895</v>
      </c>
      <c r="BN174" s="130">
        <f t="shared" si="666"/>
        <v>0.895</v>
      </c>
      <c r="BO174" s="1011">
        <f t="shared" si="666"/>
        <v>0.89499999999999991</v>
      </c>
      <c r="BP174" s="1011">
        <f t="shared" si="666"/>
        <v>0.89499999999999991</v>
      </c>
      <c r="BQ174" s="1011">
        <f t="shared" si="666"/>
        <v>0.895</v>
      </c>
      <c r="BR174" s="1011">
        <f t="shared" si="666"/>
        <v>0.895</v>
      </c>
      <c r="BS174" s="47"/>
    </row>
    <row r="175" spans="1:71" s="24" customFormat="1" ht="15">
      <c r="A175" s="568" t="s">
        <v>771</v>
      </c>
      <c r="B175" s="231"/>
      <c r="C175" s="970">
        <f t="shared" si="667" ref="C175:AP176">C159+C167</f>
        <v>0</v>
      </c>
      <c r="D175" s="1011">
        <f t="shared" si="667"/>
        <v>0</v>
      </c>
      <c r="E175" s="1011">
        <f t="shared" si="667"/>
        <v>0</v>
      </c>
      <c r="F175" s="1011">
        <f t="shared" si="667"/>
        <v>0</v>
      </c>
      <c r="G175" s="1011">
        <f t="shared" si="667"/>
        <v>0</v>
      </c>
      <c r="H175" s="130">
        <f t="shared" si="667"/>
        <v>0</v>
      </c>
      <c r="I175" s="130">
        <f t="shared" si="667"/>
        <v>0</v>
      </c>
      <c r="J175" s="130">
        <f t="shared" si="667"/>
        <v>0</v>
      </c>
      <c r="K175" s="130">
        <f t="shared" si="667"/>
        <v>0</v>
      </c>
      <c r="L175" s="1011">
        <f t="shared" si="667"/>
        <v>0</v>
      </c>
      <c r="M175" s="130">
        <f t="shared" si="667"/>
        <v>0</v>
      </c>
      <c r="N175" s="130">
        <f t="shared" si="667"/>
        <v>0</v>
      </c>
      <c r="O175" s="130">
        <f t="shared" si="667"/>
        <v>0</v>
      </c>
      <c r="P175" s="130">
        <f t="shared" si="667"/>
        <v>0</v>
      </c>
      <c r="Q175" s="1011">
        <f t="shared" si="667"/>
        <v>1.0780000000000001</v>
      </c>
      <c r="R175" s="130">
        <f t="shared" si="667"/>
        <v>1.2170000000000001</v>
      </c>
      <c r="S175" s="130">
        <f t="shared" si="667"/>
        <v>1.339</v>
      </c>
      <c r="T175" s="130">
        <f t="shared" si="667"/>
        <v>1.1499999999999999</v>
      </c>
      <c r="U175" s="130">
        <f t="shared" si="667"/>
        <v>1.1602113821138214</v>
      </c>
      <c r="V175" s="1011">
        <f t="shared" si="667"/>
        <v>1.2170000000000001</v>
      </c>
      <c r="W175" s="130">
        <f t="shared" si="667"/>
        <v>1.032</v>
      </c>
      <c r="X175" s="130">
        <f t="shared" si="667"/>
        <v>1.0169999999999999</v>
      </c>
      <c r="Y175" s="130">
        <f t="shared" si="667"/>
        <v>1.121</v>
      </c>
      <c r="Z175" s="130">
        <f t="shared" si="667"/>
        <v>0.98281249999999964</v>
      </c>
      <c r="AA175" s="1011">
        <f t="shared" si="667"/>
        <v>1.038</v>
      </c>
      <c r="AB175" s="130">
        <f t="shared" si="667"/>
        <v>1.044</v>
      </c>
      <c r="AC175" s="130">
        <f t="shared" si="667"/>
        <v>1.218</v>
      </c>
      <c r="AD175" s="130">
        <f t="shared" si="667"/>
        <v>1.2390000000000001</v>
      </c>
      <c r="AE175" s="130">
        <f t="shared" si="667"/>
        <v>0.99532022471910064</v>
      </c>
      <c r="AF175" s="1011">
        <f t="shared" si="667"/>
        <v>1.127</v>
      </c>
      <c r="AG175" s="130">
        <f t="shared" si="667"/>
        <v>0.96199999999999997</v>
      </c>
      <c r="AH175" s="130">
        <f t="shared" si="667"/>
        <v>1.0309999999999999</v>
      </c>
      <c r="AI175" s="130">
        <f t="shared" si="667"/>
        <v>0.996</v>
      </c>
      <c r="AJ175" s="130">
        <f t="shared" si="667"/>
        <v>0.94421940928269987</v>
      </c>
      <c r="AK175" s="1011">
        <f t="shared" si="667"/>
        <v>0.98399999999999999</v>
      </c>
      <c r="AL175" s="130">
        <f t="shared" si="667"/>
        <v>0.97700000000000009</v>
      </c>
      <c r="AM175" s="130">
        <f t="shared" si="667"/>
        <v>1.069</v>
      </c>
      <c r="AN175" s="130">
        <f t="shared" si="667"/>
        <v>1.077</v>
      </c>
      <c r="AO175" s="130">
        <f t="shared" si="667"/>
        <v>1.077299516908212</v>
      </c>
      <c r="AP175" s="1011">
        <f t="shared" si="667"/>
        <v>1.0469999999999999</v>
      </c>
      <c r="AQ175" s="130">
        <f t="shared" si="668" ref="AQ175:AQ176">AQ159+AQ167</f>
        <v>1.0110000000000001</v>
      </c>
      <c r="AR175" s="130">
        <f t="shared" si="669" ref="AR175:AR177">AR159+AR167</f>
        <v>1.1280000000000001</v>
      </c>
      <c r="AS175" s="130">
        <f t="shared" si="670" ref="AS175:AS177">AS159+AS167</f>
        <v>1.2650000000000001</v>
      </c>
      <c r="AT175" s="130">
        <f t="shared" si="671" ref="AT175:AU177">AT159+AT167</f>
        <v>1.3237088607594931</v>
      </c>
      <c r="AU175" s="1011">
        <f t="shared" si="671"/>
        <v>1.1910000000000001</v>
      </c>
      <c r="AV175" s="130">
        <f t="shared" si="672" ref="AV175:AW177">AV159+AV167</f>
        <v>1.0780000000000001</v>
      </c>
      <c r="AW175" s="130">
        <f t="shared" si="672"/>
        <v>1.458</v>
      </c>
      <c r="AX175" s="130">
        <f t="shared" si="673" ref="AX175:AZ177">AX159+AX167</f>
        <v>1.395</v>
      </c>
      <c r="AY175" s="130">
        <f t="shared" si="673"/>
        <v>1.7618273092369476</v>
      </c>
      <c r="AZ175" s="1011">
        <f t="shared" si="673"/>
        <v>1.413</v>
      </c>
      <c r="BA175" s="130">
        <f t="shared" si="674" ref="BA175:BB177">BA159+BA167</f>
        <v>1.2589999999999999</v>
      </c>
      <c r="BB175" s="130">
        <f t="shared" si="674"/>
        <v>1.302</v>
      </c>
      <c r="BC175" s="130">
        <f t="shared" si="675" ref="BC175:BI177">BC159+BC167</f>
        <v>1.3089999999999999</v>
      </c>
      <c r="BD175" s="130">
        <f t="shared" si="675"/>
        <v>1.4598852459016394</v>
      </c>
      <c r="BE175" s="1011">
        <f t="shared" si="675"/>
        <v>1.327</v>
      </c>
      <c r="BF175" s="130">
        <f t="shared" si="676" ref="BF175:BG177">BF159+BF167</f>
        <v>1.4139999999999999</v>
      </c>
      <c r="BG175" s="130">
        <f t="shared" si="676"/>
        <v>1.873</v>
      </c>
      <c r="BH175" s="748">
        <f>BH159+BH167</f>
        <v>1.1059999999999999</v>
      </c>
      <c r="BI175" s="130">
        <f t="shared" si="675"/>
        <v>1.1350000000000002</v>
      </c>
      <c r="BJ175" s="1011">
        <f t="shared" si="677" ref="BJ175:BJ177">BJ159+BJ167</f>
        <v>1.3697600270441854</v>
      </c>
      <c r="BK175" s="130">
        <f t="shared" si="678" ref="BK175:BR177">BK159+BK167</f>
        <v>1.135</v>
      </c>
      <c r="BL175" s="130">
        <f t="shared" si="678"/>
        <v>1.085</v>
      </c>
      <c r="BM175" s="130">
        <f t="shared" si="678"/>
        <v>1.1350000000000002</v>
      </c>
      <c r="BN175" s="130">
        <f t="shared" si="678"/>
        <v>1.135</v>
      </c>
      <c r="BO175" s="1011">
        <f t="shared" si="678"/>
        <v>1.1218843823507683</v>
      </c>
      <c r="BP175" s="1011">
        <f t="shared" si="678"/>
        <v>1.085</v>
      </c>
      <c r="BQ175" s="1011">
        <f t="shared" si="678"/>
        <v>1.085</v>
      </c>
      <c r="BR175" s="1011">
        <f t="shared" si="678"/>
        <v>1.085</v>
      </c>
      <c r="BS175" s="47"/>
    </row>
    <row r="176" spans="1:71" s="24" customFormat="1" ht="15">
      <c r="A176" s="568" t="s">
        <v>810</v>
      </c>
      <c r="B176" s="231"/>
      <c r="C176" s="970">
        <f t="shared" si="667"/>
        <v>0</v>
      </c>
      <c r="D176" s="1011">
        <f t="shared" si="667"/>
        <v>0</v>
      </c>
      <c r="E176" s="1011">
        <f t="shared" si="667"/>
        <v>0</v>
      </c>
      <c r="F176" s="1011">
        <f t="shared" si="667"/>
        <v>0</v>
      </c>
      <c r="G176" s="1011">
        <f t="shared" si="667"/>
        <v>0</v>
      </c>
      <c r="H176" s="130">
        <f t="shared" si="667"/>
        <v>0</v>
      </c>
      <c r="I176" s="130">
        <f t="shared" si="667"/>
        <v>0</v>
      </c>
      <c r="J176" s="130">
        <f t="shared" si="667"/>
        <v>0</v>
      </c>
      <c r="K176" s="130">
        <f t="shared" si="667"/>
        <v>0</v>
      </c>
      <c r="L176" s="1011">
        <f t="shared" si="667"/>
        <v>0</v>
      </c>
      <c r="M176" s="130">
        <f t="shared" si="667"/>
        <v>0</v>
      </c>
      <c r="N176" s="130">
        <f t="shared" si="667"/>
        <v>0</v>
      </c>
      <c r="O176" s="130">
        <f t="shared" si="667"/>
        <v>0</v>
      </c>
      <c r="P176" s="130">
        <f t="shared" si="667"/>
        <v>0</v>
      </c>
      <c r="Q176" s="1011">
        <f t="shared" si="667"/>
        <v>0.46899999999999997</v>
      </c>
      <c r="R176" s="130">
        <f t="shared" si="667"/>
        <v>0</v>
      </c>
      <c r="S176" s="130">
        <f t="shared" si="667"/>
        <v>0</v>
      </c>
      <c r="T176" s="130">
        <f t="shared" si="667"/>
        <v>0</v>
      </c>
      <c r="U176" s="130">
        <f t="shared" si="667"/>
        <v>0</v>
      </c>
      <c r="V176" s="1011">
        <f t="shared" si="667"/>
        <v>0</v>
      </c>
      <c r="W176" s="130">
        <f t="shared" si="667"/>
        <v>0</v>
      </c>
      <c r="X176" s="130">
        <f t="shared" si="667"/>
        <v>0</v>
      </c>
      <c r="Y176" s="130">
        <f t="shared" si="667"/>
        <v>0</v>
      </c>
      <c r="Z176" s="130">
        <f t="shared" si="667"/>
        <v>0</v>
      </c>
      <c r="AA176" s="1011">
        <f t="shared" si="667"/>
        <v>0</v>
      </c>
      <c r="AB176" s="130">
        <f t="shared" si="667"/>
        <v>0</v>
      </c>
      <c r="AC176" s="130">
        <f t="shared" si="667"/>
        <v>0</v>
      </c>
      <c r="AD176" s="130">
        <f t="shared" si="667"/>
        <v>0</v>
      </c>
      <c r="AE176" s="130">
        <f t="shared" si="667"/>
        <v>0</v>
      </c>
      <c r="AF176" s="1011">
        <f t="shared" si="667"/>
        <v>0</v>
      </c>
      <c r="AG176" s="130">
        <f t="shared" si="667"/>
        <v>0</v>
      </c>
      <c r="AH176" s="130">
        <f t="shared" si="667"/>
        <v>0</v>
      </c>
      <c r="AI176" s="130">
        <f t="shared" si="667"/>
        <v>0</v>
      </c>
      <c r="AJ176" s="130">
        <f t="shared" si="667"/>
        <v>0</v>
      </c>
      <c r="AK176" s="1011">
        <f t="shared" si="667"/>
        <v>0</v>
      </c>
      <c r="AL176" s="130">
        <f t="shared" si="667"/>
        <v>0</v>
      </c>
      <c r="AM176" s="130">
        <f t="shared" si="667"/>
        <v>0</v>
      </c>
      <c r="AN176" s="130">
        <f t="shared" si="667"/>
        <v>0</v>
      </c>
      <c r="AO176" s="130">
        <f t="shared" si="667"/>
        <v>0</v>
      </c>
      <c r="AP176" s="1011">
        <f t="shared" si="667"/>
        <v>0</v>
      </c>
      <c r="AQ176" s="130">
        <f t="shared" si="668"/>
        <v>0</v>
      </c>
      <c r="AR176" s="130">
        <f t="shared" si="669"/>
        <v>0</v>
      </c>
      <c r="AS176" s="130">
        <f t="shared" si="670"/>
        <v>0</v>
      </c>
      <c r="AT176" s="130">
        <f t="shared" si="671"/>
        <v>0</v>
      </c>
      <c r="AU176" s="1011">
        <f t="shared" si="671"/>
        <v>0</v>
      </c>
      <c r="AV176" s="130">
        <f t="shared" si="672"/>
        <v>0.72599999999999998</v>
      </c>
      <c r="AW176" s="130">
        <f t="shared" si="672"/>
        <v>0.74199999999999999</v>
      </c>
      <c r="AX176" s="130">
        <f t="shared" si="673"/>
        <v>0.97799999999999998</v>
      </c>
      <c r="AY176" s="130">
        <f t="shared" si="673"/>
        <v>0.68226771653543306</v>
      </c>
      <c r="AZ176" s="1011">
        <f t="shared" si="673"/>
        <v>0.78700000000000003</v>
      </c>
      <c r="BA176" s="130">
        <f t="shared" si="674"/>
        <v>0.76400000000000001</v>
      </c>
      <c r="BB176" s="130">
        <f t="shared" si="674"/>
        <v>0.83600000000000008</v>
      </c>
      <c r="BC176" s="130">
        <f t="shared" si="675"/>
        <v>0.81800000000000006</v>
      </c>
      <c r="BD176" s="130">
        <f t="shared" si="675"/>
        <v>0.74550344827586179</v>
      </c>
      <c r="BE176" s="1011">
        <f t="shared" si="675"/>
        <v>0.79099999999999993</v>
      </c>
      <c r="BF176" s="130">
        <f t="shared" si="676"/>
        <v>0.65700000000000003</v>
      </c>
      <c r="BG176" s="130">
        <f t="shared" si="676"/>
        <v>0.64400000000000002</v>
      </c>
      <c r="BH176" s="748">
        <f>BH160+BH168</f>
        <v>0.73699999999999999</v>
      </c>
      <c r="BI176" s="130">
        <f t="shared" si="675"/>
        <v>0.76</v>
      </c>
      <c r="BJ176" s="1011">
        <f t="shared" si="677"/>
        <v>0.69781980374665475</v>
      </c>
      <c r="BK176" s="130">
        <f t="shared" si="678"/>
        <v>0.76</v>
      </c>
      <c r="BL176" s="130">
        <f t="shared" si="678"/>
        <v>0.76</v>
      </c>
      <c r="BM176" s="130">
        <f t="shared" si="678"/>
        <v>0.76</v>
      </c>
      <c r="BN176" s="130">
        <f t="shared" si="678"/>
        <v>0.76</v>
      </c>
      <c r="BO176" s="1011">
        <f t="shared" si="678"/>
        <v>0.76</v>
      </c>
      <c r="BP176" s="1011">
        <f t="shared" si="678"/>
        <v>0.76</v>
      </c>
      <c r="BQ176" s="1011">
        <f t="shared" si="678"/>
        <v>0.76</v>
      </c>
      <c r="BR176" s="1011">
        <f t="shared" si="678"/>
        <v>0.76</v>
      </c>
      <c r="BS176" s="47"/>
    </row>
    <row r="177" spans="1:71" s="24" customFormat="1" ht="15">
      <c r="A177" s="346" t="s">
        <v>555</v>
      </c>
      <c r="B177" s="489"/>
      <c r="C177" s="1013">
        <f t="shared" si="679" ref="C177:AH177">C161+C169</f>
        <v>0.96099999999999997</v>
      </c>
      <c r="D177" s="1013">
        <f t="shared" si="679"/>
        <v>0.98</v>
      </c>
      <c r="E177" s="1013">
        <f t="shared" si="679"/>
        <v>1.0329999999999999</v>
      </c>
      <c r="F177" s="1013">
        <f t="shared" si="679"/>
        <v>0.95299999999999996</v>
      </c>
      <c r="G177" s="1013">
        <f t="shared" si="679"/>
        <v>0.915</v>
      </c>
      <c r="H177" s="406">
        <f t="shared" si="679"/>
        <v>0.94700000000000006</v>
      </c>
      <c r="I177" s="406">
        <f t="shared" si="679"/>
        <v>0.97299999999999998</v>
      </c>
      <c r="J177" s="406">
        <f t="shared" si="679"/>
        <v>0.92100000000000004</v>
      </c>
      <c r="K177" s="406">
        <f t="shared" si="679"/>
        <v>0.9176260049902969</v>
      </c>
      <c r="L177" s="1013">
        <f t="shared" si="679"/>
        <v>0.935</v>
      </c>
      <c r="M177" s="406">
        <f t="shared" si="679"/>
        <v>0.93700000000000006</v>
      </c>
      <c r="N177" s="406">
        <f t="shared" si="679"/>
        <v>1.0009999999999999</v>
      </c>
      <c r="O177" s="406">
        <f t="shared" si="679"/>
        <v>0.92900000000000005</v>
      </c>
      <c r="P177" s="406">
        <f t="shared" si="679"/>
        <v>0.89384858921711507</v>
      </c>
      <c r="Q177" s="1013">
        <f t="shared" si="679"/>
        <v>0.93600000000000005</v>
      </c>
      <c r="R177" s="406">
        <f t="shared" si="679"/>
        <v>0.98399999999999999</v>
      </c>
      <c r="S177" s="406">
        <f t="shared" si="679"/>
        <v>1.008</v>
      </c>
      <c r="T177" s="406">
        <f t="shared" si="679"/>
        <v>0.94199999999999995</v>
      </c>
      <c r="U177" s="406">
        <f t="shared" si="679"/>
        <v>0.89509347601856604</v>
      </c>
      <c r="V177" s="1013">
        <f t="shared" si="679"/>
        <v>0.95699999999999996</v>
      </c>
      <c r="W177" s="406">
        <f t="shared" si="679"/>
        <v>0.92900000000000005</v>
      </c>
      <c r="X177" s="406">
        <f t="shared" si="679"/>
        <v>0.965</v>
      </c>
      <c r="Y177" s="406">
        <f t="shared" si="679"/>
        <v>0.92800000000000005</v>
      </c>
      <c r="Z177" s="406">
        <f t="shared" si="679"/>
        <v>0.91050495546355581</v>
      </c>
      <c r="AA177" s="1013">
        <f t="shared" si="679"/>
        <v>0.93300000000000005</v>
      </c>
      <c r="AB177" s="406">
        <f t="shared" si="679"/>
        <v>0.874</v>
      </c>
      <c r="AC177" s="406">
        <f t="shared" si="679"/>
        <v>0.94399999999999995</v>
      </c>
      <c r="AD177" s="406">
        <f t="shared" si="679"/>
        <v>0.92900000000000005</v>
      </c>
      <c r="AE177" s="406">
        <f t="shared" si="679"/>
        <v>0.96678318689147502</v>
      </c>
      <c r="AF177" s="1013">
        <f t="shared" si="679"/>
        <v>0.92900000000000005</v>
      </c>
      <c r="AG177" s="406">
        <f t="shared" si="679"/>
        <v>0.91700000000000004</v>
      </c>
      <c r="AH177" s="406">
        <f t="shared" si="679"/>
        <v>0.95699999999999996</v>
      </c>
      <c r="AI177" s="406">
        <f t="shared" si="680" ref="AI177:AQ177">AI161+AI169</f>
        <v>0.905</v>
      </c>
      <c r="AJ177" s="406">
        <f t="shared" si="680"/>
        <v>0.88581562042150352</v>
      </c>
      <c r="AK177" s="1013">
        <f t="shared" si="680"/>
        <v>0.91600000000000004</v>
      </c>
      <c r="AL177" s="406">
        <f t="shared" si="680"/>
        <v>0.84799999999999998</v>
      </c>
      <c r="AM177" s="406">
        <f t="shared" si="680"/>
        <v>0.89799999999999991</v>
      </c>
      <c r="AN177" s="406">
        <f t="shared" si="680"/>
        <v>0.90100000000000002</v>
      </c>
      <c r="AO177" s="406">
        <f t="shared" si="680"/>
        <v>0.84125990544799656</v>
      </c>
      <c r="AP177" s="1013">
        <f t="shared" si="680"/>
        <v>0.87210699831365934</v>
      </c>
      <c r="AQ177" s="406">
        <f t="shared" si="680"/>
        <v>0.83199999999999996</v>
      </c>
      <c r="AR177" s="406">
        <f t="shared" si="669"/>
        <v>0.95699999999999996</v>
      </c>
      <c r="AS177" s="406">
        <f t="shared" si="670"/>
        <v>1.0409999999999999</v>
      </c>
      <c r="AT177" s="406">
        <f t="shared" si="671"/>
        <v>0.99003079884504319</v>
      </c>
      <c r="AU177" s="1013">
        <f t="shared" si="671"/>
        <v>0.95599999999999996</v>
      </c>
      <c r="AV177" s="406">
        <f t="shared" si="672"/>
        <v>0.97299999999999998</v>
      </c>
      <c r="AW177" s="406">
        <f t="shared" si="672"/>
        <v>1.079</v>
      </c>
      <c r="AX177" s="406">
        <f t="shared" si="673"/>
        <v>1.105</v>
      </c>
      <c r="AY177" s="576">
        <f t="shared" si="673"/>
        <v>1.0895590509666082</v>
      </c>
      <c r="AZ177" s="1014">
        <f t="shared" si="673"/>
        <v>1.0629999999999999</v>
      </c>
      <c r="BA177" s="406">
        <f t="shared" si="674"/>
        <v>1.0860000000000001</v>
      </c>
      <c r="BB177" s="406">
        <f t="shared" si="674"/>
        <v>1.175</v>
      </c>
      <c r="BC177" s="406">
        <f t="shared" si="675"/>
        <v>1.0269999999999999</v>
      </c>
      <c r="BD177" s="576">
        <f t="shared" si="675"/>
        <v>0.89399936512975153</v>
      </c>
      <c r="BE177" s="1014">
        <f t="shared" si="675"/>
        <v>1.0429999999999999</v>
      </c>
      <c r="BF177" s="406">
        <f t="shared" si="676"/>
        <v>0.93</v>
      </c>
      <c r="BG177" s="406">
        <f t="shared" si="676"/>
        <v>1.0110000000000001</v>
      </c>
      <c r="BH177" s="749">
        <f>BH161+BH169</f>
        <v>0.95899999999999996</v>
      </c>
      <c r="BI177" s="578">
        <f t="shared" si="675"/>
        <v>0.92169875707980908</v>
      </c>
      <c r="BJ177" s="1014">
        <f t="shared" si="677"/>
        <v>0.9557544374187168</v>
      </c>
      <c r="BK177" s="576">
        <f t="shared" si="678"/>
        <v>0.92008100260291903</v>
      </c>
      <c r="BL177" s="576">
        <f t="shared" si="678"/>
        <v>0.97694764702031189</v>
      </c>
      <c r="BM177" s="576">
        <f t="shared" si="678"/>
        <v>0.95134348328873819</v>
      </c>
      <c r="BN177" s="578">
        <f t="shared" si="678"/>
        <v>0.90678216092164043</v>
      </c>
      <c r="BO177" s="1014">
        <f t="shared" si="678"/>
        <v>0.93956078097450046</v>
      </c>
      <c r="BP177" s="1014">
        <f t="shared" si="678"/>
        <v>0.92588974799893942</v>
      </c>
      <c r="BQ177" s="1014">
        <f t="shared" si="678"/>
        <v>0.92602259171629175</v>
      </c>
      <c r="BR177" s="1014">
        <f t="shared" si="678"/>
        <v>0.92606107379695091</v>
      </c>
      <c r="BS177" s="47"/>
    </row>
    <row r="178" spans="1:71" s="25" customFormat="1" ht="15">
      <c r="A178" s="43" t="s">
        <v>638</v>
      </c>
      <c r="B178" s="488"/>
      <c r="C178" s="979">
        <f t="shared" si="681" ref="C178:AP178">ROUND(INDEX(MO_UI_UnderwritingExpense,0,COLUMN())/INDEX(MO_UI_NEP,0,COLUMN()),6)</f>
        <v>0.96221999999999996</v>
      </c>
      <c r="D178" s="1015">
        <f t="shared" si="681"/>
        <v>0.98119599999999996</v>
      </c>
      <c r="E178" s="1015">
        <f t="shared" si="681"/>
        <v>1.0339640000000001</v>
      </c>
      <c r="F178" s="1015">
        <f t="shared" si="681"/>
        <v>0.954982</v>
      </c>
      <c r="G178" s="1015">
        <f t="shared" si="681"/>
        <v>0.92017800000000005</v>
      </c>
      <c r="H178" s="158">
        <f t="shared" si="681"/>
        <v>0.94742499999999996</v>
      </c>
      <c r="I178" s="158">
        <f t="shared" si="681"/>
        <v>0.97341599999999995</v>
      </c>
      <c r="J178" s="158">
        <f t="shared" si="681"/>
        <v>0.93538100000000002</v>
      </c>
      <c r="K178" s="158">
        <f t="shared" si="681"/>
        <v>0.91818</v>
      </c>
      <c r="L178" s="1015">
        <f t="shared" si="681"/>
        <v>0.93897699999999995</v>
      </c>
      <c r="M178" s="158">
        <f t="shared" si="681"/>
        <v>0.93726900000000002</v>
      </c>
      <c r="N178" s="158">
        <f t="shared" si="681"/>
        <v>1.0012650000000001</v>
      </c>
      <c r="O178" s="158">
        <f t="shared" si="681"/>
        <v>0.93540500000000004</v>
      </c>
      <c r="P178" s="158">
        <f t="shared" si="681"/>
        <v>0.89411399999999996</v>
      </c>
      <c r="Q178" s="1015">
        <f t="shared" si="681"/>
        <v>0.93781499999999995</v>
      </c>
      <c r="R178" s="158">
        <f t="shared" si="681"/>
        <v>0.98426400000000003</v>
      </c>
      <c r="S178" s="158">
        <f t="shared" si="681"/>
        <v>1.0082610000000001</v>
      </c>
      <c r="T178" s="158">
        <f t="shared" si="681"/>
        <v>0.954955</v>
      </c>
      <c r="U178" s="158">
        <f t="shared" si="681"/>
        <v>0.89548000000000005</v>
      </c>
      <c r="V178" s="1015">
        <f t="shared" si="681"/>
        <v>0.96048199999999995</v>
      </c>
      <c r="W178" s="158">
        <f t="shared" si="681"/>
        <v>0.92925800000000003</v>
      </c>
      <c r="X178" s="158">
        <f t="shared" si="681"/>
        <v>0.96564000000000005</v>
      </c>
      <c r="Y178" s="158">
        <f t="shared" si="681"/>
        <v>0.93914500000000001</v>
      </c>
      <c r="Z178" s="158">
        <f t="shared" si="681"/>
        <v>0.91100700000000001</v>
      </c>
      <c r="AA178" s="1015">
        <f t="shared" si="681"/>
        <v>0.93615000000000004</v>
      </c>
      <c r="AB178" s="158">
        <f t="shared" si="681"/>
        <v>0.87437399999999998</v>
      </c>
      <c r="AC178" s="158">
        <f t="shared" si="681"/>
        <v>0.94436600000000004</v>
      </c>
      <c r="AD178" s="158">
        <f t="shared" si="681"/>
        <v>0.93861499999999998</v>
      </c>
      <c r="AE178" s="158">
        <f t="shared" si="681"/>
        <v>0.96725799999999995</v>
      </c>
      <c r="AF178" s="1015">
        <f t="shared" si="681"/>
        <v>0.93173099999999998</v>
      </c>
      <c r="AG178" s="158">
        <f t="shared" si="681"/>
        <v>0.91735299999999997</v>
      </c>
      <c r="AH178" s="158">
        <f t="shared" si="681"/>
        <v>0.95734600000000003</v>
      </c>
      <c r="AI178" s="158">
        <f t="shared" si="681"/>
        <v>0.916273</v>
      </c>
      <c r="AJ178" s="158">
        <f t="shared" si="681"/>
        <v>0.886154</v>
      </c>
      <c r="AK178" s="1015">
        <f t="shared" si="681"/>
        <v>0.91910000000000003</v>
      </c>
      <c r="AL178" s="158">
        <f>ROUND(INDEX(MO_UI_UnderwritingExpense,0,COLUMN())/INDEX(MO_UI_NEP,0,COLUMN()),6)</f>
        <v>0.84833800000000004</v>
      </c>
      <c r="AM178" s="158">
        <f>ROUND(INDEX(MO_UI_UnderwritingExpense,0,COLUMN())/INDEX(MO_UI_NEP,0,COLUMN()),6)</f>
        <v>0.89833799999999997</v>
      </c>
      <c r="AN178" s="158">
        <f>ROUND(INDEX(MO_UI_UnderwritingExpense,0,COLUMN())/INDEX(MO_UI_NEP,0,COLUMN()),6)</f>
        <v>0.91608000000000001</v>
      </c>
      <c r="AO178" s="158">
        <f t="shared" si="681"/>
        <v>0.84159799999999996</v>
      </c>
      <c r="AP178" s="1015">
        <f t="shared" si="681"/>
        <v>0.87615399999999999</v>
      </c>
      <c r="AQ178" s="158">
        <f t="shared" si="682" ref="AQ178:AV178">ROUND(INDEX(MO_UI_UnderwritingExpense,0,COLUMN())/INDEX(MO_UI_NEP,0,COLUMN()),6)</f>
        <v>0.83230300000000002</v>
      </c>
      <c r="AR178" s="158">
        <f t="shared" si="682"/>
        <v>0.95720000000000005</v>
      </c>
      <c r="AS178" s="158">
        <f t="shared" si="682"/>
        <v>1.0521229999999999</v>
      </c>
      <c r="AT178" s="158">
        <f t="shared" si="682"/>
        <v>0.99022299999999996</v>
      </c>
      <c r="AU178" s="1015">
        <f t="shared" si="682"/>
        <v>0.95896599999999999</v>
      </c>
      <c r="AV178" s="158">
        <f t="shared" si="682"/>
        <v>0.97319100000000003</v>
      </c>
      <c r="AW178" s="158">
        <f t="shared" si="683" ref="AW178:BJ178">ROUND(INDEX(MO_UI_UnderwritingExpense,0,COLUMN())/INDEX(MO_UI_NEP,0,COLUMN()),6)</f>
        <v>1.0792759999999999</v>
      </c>
      <c r="AX178" s="158">
        <f t="shared" si="683"/>
        <v>1.1159349999999999</v>
      </c>
      <c r="AY178" s="158">
        <f t="shared" si="683"/>
        <v>1.0897349999999999</v>
      </c>
      <c r="AZ178" s="1015">
        <f t="shared" si="683"/>
        <v>1.0659380000000001</v>
      </c>
      <c r="BA178" s="158">
        <f t="shared" si="684" ref="BA178:BI178">ROUND(INDEX(MO_UI_UnderwritingExpense,0,COLUMN())/INDEX(MO_UI_NEP,0,COLUMN()),6)</f>
        <v>1.0862579999999999</v>
      </c>
      <c r="BB178" s="158">
        <f t="shared" si="684"/>
        <v>1.175168</v>
      </c>
      <c r="BC178" s="158">
        <f t="shared" si="684"/>
        <v>1.0337639999999999</v>
      </c>
      <c r="BD178" s="158">
        <f t="shared" si="684"/>
        <v>0.89447600000000005</v>
      </c>
      <c r="BE178" s="1015">
        <f t="shared" si="684"/>
        <v>1.0449409999999999</v>
      </c>
      <c r="BF178" s="158">
        <f>ROUND(INDEX(MO_UI_UnderwritingExpense,0,COLUMN())/INDEX(MO_UI_NEP,0,COLUMN()),6)</f>
        <v>0.93038799999999999</v>
      </c>
      <c r="BG178" s="158">
        <f>ROUND(INDEX(MO_UI_UnderwritingExpense,0,COLUMN())/INDEX(MO_UI_NEP,0,COLUMN()),6)</f>
        <v>1.011225</v>
      </c>
      <c r="BH178" s="750">
        <f>ROUND(INDEX(MO_UI_UnderwritingExpense,0,COLUMN())/INDEX(MO_UI_NEP,0,COLUMN()),6)</f>
        <v>0.96338100000000004</v>
      </c>
      <c r="BI178" s="393">
        <f t="shared" si="684"/>
        <v>0.92169900000000005</v>
      </c>
      <c r="BJ178" s="1016">
        <f t="shared" si="683"/>
        <v>0.95702699999999996</v>
      </c>
      <c r="BK178" s="393">
        <f t="shared" si="685" ref="BK178:BR178">ROUND(INDEX(MO_UI_UnderwritingExpense,0,COLUMN())/INDEX(MO_UI_NEP,0,COLUMN()),6)</f>
        <v>0.92008100000000004</v>
      </c>
      <c r="BL178" s="393">
        <f t="shared" si="685"/>
        <v>0.97694800000000004</v>
      </c>
      <c r="BM178" s="393">
        <f t="shared" si="685"/>
        <v>0.95134300000000005</v>
      </c>
      <c r="BN178" s="393">
        <f t="shared" si="685"/>
        <v>0.90678199999999998</v>
      </c>
      <c r="BO178" s="1016">
        <f t="shared" si="685"/>
        <v>0.93956099999999998</v>
      </c>
      <c r="BP178" s="1016">
        <f t="shared" si="685"/>
        <v>0.92588999999999999</v>
      </c>
      <c r="BQ178" s="1016">
        <f t="shared" si="685"/>
        <v>0.92602300000000004</v>
      </c>
      <c r="BR178" s="1016">
        <f t="shared" si="685"/>
        <v>0.92606100000000002</v>
      </c>
      <c r="BS178" s="158"/>
    </row>
    <row r="179" spans="1:71" s="207" customFormat="1" ht="15">
      <c r="A179" s="206" t="str">
        <f>CONCATENATE("Consensus Estimates - ",IFERROR(LEFT(A178,FIND("(",A178)-1),A178))</f>
        <v>Consensus Estimates - Property &amp; Liability - Combined Ratio, %</v>
      </c>
      <c r="B179" s="232"/>
      <c r="C179" s="1025"/>
      <c r="D179" s="1025"/>
      <c r="E179" s="1025"/>
      <c r="F179" s="1025"/>
      <c r="G179" s="1025"/>
      <c r="H179" s="650"/>
      <c r="I179" s="650"/>
      <c r="J179" s="650"/>
      <c r="K179" s="650"/>
      <c r="L179" s="1025"/>
      <c r="M179" s="650"/>
      <c r="N179" s="650"/>
      <c r="O179" s="650"/>
      <c r="P179" s="650"/>
      <c r="Q179" s="1025"/>
      <c r="R179" s="650"/>
      <c r="S179" s="650"/>
      <c r="T179" s="650"/>
      <c r="U179" s="650"/>
      <c r="V179" s="1025"/>
      <c r="W179" s="650"/>
      <c r="X179" s="650"/>
      <c r="Y179" s="650"/>
      <c r="Z179" s="650"/>
      <c r="AA179" s="1025"/>
      <c r="AB179" s="650"/>
      <c r="AC179" s="650"/>
      <c r="AD179" s="650"/>
      <c r="AE179" s="650"/>
      <c r="AF179" s="1025"/>
      <c r="AG179" s="650"/>
      <c r="AH179" s="650"/>
      <c r="AI179" s="650"/>
      <c r="AJ179" s="650"/>
      <c r="AK179" s="1025"/>
      <c r="AL179" s="650"/>
      <c r="AM179" s="650"/>
      <c r="AN179" s="650"/>
      <c r="AO179" s="650"/>
      <c r="AP179" s="1025"/>
      <c r="AQ179" s="650"/>
      <c r="AR179" s="650"/>
      <c r="AS179" s="650"/>
      <c r="AT179" s="650"/>
      <c r="AU179" s="1025"/>
      <c r="AV179" s="650"/>
      <c r="AW179" s="650"/>
      <c r="AX179" s="650"/>
      <c r="AY179" s="650"/>
      <c r="AZ179" s="1025"/>
      <c r="BA179" s="650"/>
      <c r="BB179" s="650"/>
      <c r="BC179" s="650"/>
      <c r="BD179" s="650"/>
      <c r="BE179" s="1025"/>
      <c r="BF179" s="650"/>
      <c r="BG179" s="650"/>
      <c r="BH179" s="752"/>
      <c r="BI179" s="219" t="str">
        <f ca="1" t="shared" si="686" ref="BI179:BO179">IFERROR(VLOOKUP($A179,tb_ConsensusEstimate,MATCH(BI$5,OFFSET(tb_ConsensusEstimate,0,0,1,COLUMNS(tb_ConsensusEstimate)),0),FALSE),"-")</f>
        <v>N/A</v>
      </c>
      <c r="BJ179" s="1026" t="str">
        <f t="shared" ca="1" si="686"/>
        <v>N/A</v>
      </c>
      <c r="BK179" s="219" t="str">
        <f t="shared" ca="1" si="686"/>
        <v>N/A</v>
      </c>
      <c r="BL179" s="219" t="str">
        <f t="shared" ca="1" si="686"/>
        <v>N/A</v>
      </c>
      <c r="BM179" s="219" t="str">
        <f t="shared" ca="1" si="686"/>
        <v>N/A</v>
      </c>
      <c r="BN179" s="219" t="str">
        <f t="shared" ca="1" si="686"/>
        <v>N/A</v>
      </c>
      <c r="BO179" s="1026" t="str">
        <f t="shared" ca="1" si="686"/>
        <v>N/A</v>
      </c>
      <c r="BP179" s="1026" t="str">
        <f ca="1">IFERROR(VLOOKUP($A179,tb_ConsensusEstimate,MATCH(BP5,OFFSET(tb_ConsensusEstimate,0,0,1,COLUMNS(tb_ConsensusEstimate)),0),FALSE),"-")</f>
        <v>N/A</v>
      </c>
      <c r="BQ179" s="1026" t="str">
        <f ca="1">IFERROR(VLOOKUP($A179,tb_ConsensusEstimate,MATCH(BQ5,OFFSET(tb_ConsensusEstimate,0,0,1,COLUMNS(tb_ConsensusEstimate)),0),FALSE),"-")</f>
        <v>N/A</v>
      </c>
      <c r="BR179" s="1026" t="str">
        <f ca="1">IFERROR(VLOOKUP($A179,tb_ConsensusEstimate,MATCH(BR5,OFFSET(tb_ConsensusEstimate,0,0,1,COLUMNS(tb_ConsensusEstimate)),0),FALSE),"-")</f>
        <v>N/A</v>
      </c>
      <c r="BS179" s="650"/>
    </row>
    <row r="180" spans="1:71" s="22" customFormat="1" ht="15">
      <c r="A180" s="491"/>
      <c r="B180" s="485"/>
      <c r="C180" s="1010"/>
      <c r="D180" s="1010"/>
      <c r="E180" s="1010"/>
      <c r="F180" s="1010"/>
      <c r="G180" s="1010"/>
      <c r="H180" s="840"/>
      <c r="I180" s="840"/>
      <c r="J180" s="840"/>
      <c r="K180" s="840"/>
      <c r="L180" s="1010"/>
      <c r="M180" s="840"/>
      <c r="N180" s="840"/>
      <c r="O180" s="840"/>
      <c r="P180" s="840"/>
      <c r="Q180" s="1010"/>
      <c r="R180" s="840"/>
      <c r="S180" s="840"/>
      <c r="T180" s="840"/>
      <c r="U180" s="840"/>
      <c r="V180" s="1010"/>
      <c r="W180" s="840"/>
      <c r="X180" s="840"/>
      <c r="Y180" s="840"/>
      <c r="Z180" s="840"/>
      <c r="AA180" s="1010"/>
      <c r="AB180" s="840"/>
      <c r="AC180" s="840"/>
      <c r="AD180" s="840"/>
      <c r="AE180" s="840"/>
      <c r="AF180" s="1010"/>
      <c r="AG180" s="840"/>
      <c r="AH180" s="840"/>
      <c r="AI180" s="840"/>
      <c r="AJ180" s="840"/>
      <c r="AK180" s="1010"/>
      <c r="AL180" s="840"/>
      <c r="AM180" s="840"/>
      <c r="AN180" s="840"/>
      <c r="AO180" s="840"/>
      <c r="AP180" s="1010"/>
      <c r="AQ180" s="840"/>
      <c r="AR180" s="840"/>
      <c r="AS180" s="840"/>
      <c r="AT180" s="840"/>
      <c r="AU180" s="1010"/>
      <c r="AV180" s="840"/>
      <c r="AW180" s="840"/>
      <c r="AX180" s="840"/>
      <c r="AY180" s="840"/>
      <c r="AZ180" s="1010"/>
      <c r="BA180" s="840"/>
      <c r="BB180" s="840"/>
      <c r="BC180" s="840"/>
      <c r="BD180" s="840"/>
      <c r="BE180" s="1010"/>
      <c r="BF180" s="840"/>
      <c r="BG180" s="840"/>
      <c r="BH180" s="841"/>
      <c r="BI180" s="840"/>
      <c r="BJ180" s="1010"/>
      <c r="BK180" s="840"/>
      <c r="BL180" s="840"/>
      <c r="BM180" s="840"/>
      <c r="BN180" s="840"/>
      <c r="BO180" s="1010"/>
      <c r="BP180" s="1010"/>
      <c r="BQ180" s="1010"/>
      <c r="BR180" s="1010"/>
      <c r="BS180" s="822"/>
    </row>
    <row r="181" spans="1:71" s="17" customFormat="1" ht="15">
      <c r="A181" s="818" t="s">
        <v>625</v>
      </c>
      <c r="B181" s="818"/>
      <c r="C181" s="837"/>
      <c r="D181" s="837"/>
      <c r="E181" s="837"/>
      <c r="F181" s="837"/>
      <c r="G181" s="837"/>
      <c r="H181" s="837"/>
      <c r="I181" s="837"/>
      <c r="J181" s="837"/>
      <c r="K181" s="837"/>
      <c r="L181" s="837"/>
      <c r="M181" s="837"/>
      <c r="N181" s="837"/>
      <c r="O181" s="837"/>
      <c r="P181" s="837"/>
      <c r="Q181" s="837"/>
      <c r="R181" s="837"/>
      <c r="S181" s="837"/>
      <c r="T181" s="837"/>
      <c r="U181" s="837"/>
      <c r="V181" s="837"/>
      <c r="W181" s="837"/>
      <c r="X181" s="837"/>
      <c r="Y181" s="837"/>
      <c r="Z181" s="837"/>
      <c r="AA181" s="837"/>
      <c r="AB181" s="837"/>
      <c r="AC181" s="837"/>
      <c r="AD181" s="837"/>
      <c r="AE181" s="837"/>
      <c r="AF181" s="837"/>
      <c r="AG181" s="837"/>
      <c r="AH181" s="837"/>
      <c r="AI181" s="837"/>
      <c r="AJ181" s="837"/>
      <c r="AK181" s="837"/>
      <c r="AL181" s="837" t="s">
        <v>671</v>
      </c>
      <c r="AM181" s="837" t="s">
        <v>671</v>
      </c>
      <c r="AN181" s="837" t="s">
        <v>671</v>
      </c>
      <c r="AO181" s="837" t="s">
        <v>671</v>
      </c>
      <c r="AP181" s="837" t="s">
        <v>671</v>
      </c>
      <c r="AQ181" s="837"/>
      <c r="AR181" s="837"/>
      <c r="AS181" s="837"/>
      <c r="AT181" s="837"/>
      <c r="AU181" s="837"/>
      <c r="AV181" s="837"/>
      <c r="AW181" s="837"/>
      <c r="AX181" s="837"/>
      <c r="AY181" s="837"/>
      <c r="AZ181" s="837"/>
      <c r="BA181" s="837"/>
      <c r="BB181" s="837"/>
      <c r="BC181" s="837"/>
      <c r="BD181" s="837"/>
      <c r="BE181" s="837"/>
      <c r="BF181" s="837"/>
      <c r="BG181" s="837"/>
      <c r="BH181" s="838"/>
      <c r="BI181" s="837"/>
      <c r="BJ181" s="837"/>
      <c r="BK181" s="837"/>
      <c r="BL181" s="837"/>
      <c r="BM181" s="837"/>
      <c r="BN181" s="837"/>
      <c r="BO181" s="837"/>
      <c r="BP181" s="837"/>
      <c r="BQ181" s="837"/>
      <c r="BR181" s="837"/>
      <c r="BS181" s="457"/>
    </row>
    <row r="182" spans="1:71" s="300" customFormat="1" ht="15" hidden="1" outlineLevel="1">
      <c r="A182" s="304" t="s">
        <v>367</v>
      </c>
      <c r="B182" s="233"/>
      <c r="C182" s="988">
        <v>25971</v>
      </c>
      <c r="D182" s="988">
        <v>25907</v>
      </c>
      <c r="E182" s="988">
        <v>25980</v>
      </c>
      <c r="F182" s="988">
        <v>27027</v>
      </c>
      <c r="G182" s="988">
        <v>28164</v>
      </c>
      <c r="H182" s="897">
        <v>6969</v>
      </c>
      <c r="I182" s="897">
        <v>7547</v>
      </c>
      <c r="J182" s="897">
        <v>7806</v>
      </c>
      <c r="K182" s="305">
        <f>L182-SUM(H182,I182,J182)</f>
        <v>7292</v>
      </c>
      <c r="L182" s="988">
        <v>29614</v>
      </c>
      <c r="M182" s="897">
        <v>7306</v>
      </c>
      <c r="N182" s="897">
        <v>7877</v>
      </c>
      <c r="O182" s="897">
        <v>8137</v>
      </c>
      <c r="P182" s="305">
        <f>Q182-SUM(M182,N182,O182)</f>
        <v>7551</v>
      </c>
      <c r="Q182" s="988">
        <v>30871</v>
      </c>
      <c r="R182" s="897">
        <v>7332</v>
      </c>
      <c r="S182" s="897">
        <v>7868</v>
      </c>
      <c r="T182" s="897">
        <v>8126</v>
      </c>
      <c r="U182" s="305">
        <f>V182-SUM(R182,S182,T182)</f>
        <v>7565</v>
      </c>
      <c r="V182" s="988">
        <v>30891</v>
      </c>
      <c r="W182" s="897">
        <v>7469</v>
      </c>
      <c r="X182" s="897">
        <v>8030</v>
      </c>
      <c r="Y182" s="897">
        <v>8311</v>
      </c>
      <c r="Z182" s="305">
        <f>AA182-SUM(W182,X182,Y182)</f>
        <v>7838</v>
      </c>
      <c r="AA182" s="988">
        <v>31648</v>
      </c>
      <c r="AB182" s="897">
        <v>7844</v>
      </c>
      <c r="AC182" s="897">
        <v>8541</v>
      </c>
      <c r="AD182" s="897">
        <v>8800</v>
      </c>
      <c r="AE182" s="305">
        <f>AF182-SUM(AB182,AC182,AD182)</f>
        <v>8370</v>
      </c>
      <c r="AF182" s="988">
        <v>33555</v>
      </c>
      <c r="AG182" s="897">
        <v>8327</v>
      </c>
      <c r="AH182" s="897">
        <v>9043</v>
      </c>
      <c r="AI182" s="897">
        <v>9312</v>
      </c>
      <c r="AJ182" s="305">
        <f>AK182-SUM(AG182,AH182,AI182)</f>
        <v>8737</v>
      </c>
      <c r="AK182" s="988">
        <v>35419</v>
      </c>
      <c r="AL182" s="897">
        <v>8592</v>
      </c>
      <c r="AM182" s="897">
        <v>9172</v>
      </c>
      <c r="AN182" s="897">
        <v>9395</v>
      </c>
      <c r="AO182" s="305">
        <f>AP182-SUM(AL182,AM182,AN182)</f>
        <v>8609</v>
      </c>
      <c r="AP182" s="988">
        <v>35768</v>
      </c>
      <c r="AQ182" s="897">
        <v>9768</v>
      </c>
      <c r="AR182" s="897">
        <v>10323</v>
      </c>
      <c r="AS182" s="897">
        <v>10966</v>
      </c>
      <c r="AT182" s="305">
        <f>AU182-SUM(AQ182,AR182,AS182)</f>
        <v>10301</v>
      </c>
      <c r="AU182" s="988">
        <v>41358</v>
      </c>
      <c r="AV182" s="897">
        <v>10761</v>
      </c>
      <c r="AW182" s="897">
        <v>11509</v>
      </c>
      <c r="AX182" s="897">
        <v>12037</v>
      </c>
      <c r="AY182" s="305">
        <f>AZ182-SUM(AV182,AW182,AX182)</f>
        <v>11480</v>
      </c>
      <c r="AZ182" s="988">
        <v>45787</v>
      </c>
      <c r="BA182" s="897">
        <v>11783</v>
      </c>
      <c r="BB182" s="897">
        <v>12620</v>
      </c>
      <c r="BC182" s="897">
        <v>13304</v>
      </c>
      <c r="BD182" s="305">
        <f>BE182-SUM(BA182,BB182,BC182)</f>
        <v>12640</v>
      </c>
      <c r="BE182" s="988">
        <v>50347</v>
      </c>
      <c r="BF182" s="897">
        <v>13183</v>
      </c>
      <c r="BG182" s="897">
        <v>14279</v>
      </c>
      <c r="BH182" s="898">
        <v>14707</v>
      </c>
      <c r="BI182" s="92"/>
      <c r="BJ182" s="989"/>
      <c r="BK182" s="92"/>
      <c r="BL182" s="92"/>
      <c r="BM182" s="92"/>
      <c r="BN182" s="92"/>
      <c r="BO182" s="989"/>
      <c r="BP182" s="989"/>
      <c r="BQ182" s="989"/>
      <c r="BR182" s="989"/>
      <c r="BS182" s="305"/>
    </row>
    <row r="183" spans="1:71" s="300" customFormat="1" ht="15" hidden="1" outlineLevel="1">
      <c r="A183" s="304" t="s">
        <v>368</v>
      </c>
      <c r="B183" s="233"/>
      <c r="C183" s="988">
        <v>200</v>
      </c>
      <c r="D183" s="988">
        <v>19</v>
      </c>
      <c r="E183" s="988">
        <v>-33</v>
      </c>
      <c r="F183" s="988">
        <v>-322</v>
      </c>
      <c r="G183" s="988">
        <v>-572</v>
      </c>
      <c r="H183" s="897">
        <v>112</v>
      </c>
      <c r="I183" s="897">
        <v>-397</v>
      </c>
      <c r="J183" s="897">
        <v>-512</v>
      </c>
      <c r="K183" s="305">
        <f>L183-SUM(H183,I183,J183)</f>
        <v>74</v>
      </c>
      <c r="L183" s="988">
        <v>-723</v>
      </c>
      <c r="M183" s="897">
        <v>166</v>
      </c>
      <c r="N183" s="897">
        <v>-370</v>
      </c>
      <c r="O183" s="897">
        <v>-485</v>
      </c>
      <c r="P183" s="305">
        <f>Q183-SUM(M183,N183,O183)</f>
        <v>140</v>
      </c>
      <c r="Q183" s="988">
        <v>-549</v>
      </c>
      <c r="R183" s="897">
        <v>225</v>
      </c>
      <c r="S183" s="897">
        <v>-204</v>
      </c>
      <c r="T183" s="897">
        <v>-416</v>
      </c>
      <c r="U183" s="305">
        <f>V183-SUM(R183,S183,T183)</f>
        <v>214</v>
      </c>
      <c r="V183" s="988">
        <v>-181</v>
      </c>
      <c r="W183" s="897">
        <v>298</v>
      </c>
      <c r="X183" s="897">
        <v>-239</v>
      </c>
      <c r="Y183" s="897">
        <v>-456</v>
      </c>
      <c r="Z183" s="305">
        <f>AA183-SUM(W183,X183,Y183)</f>
        <v>139</v>
      </c>
      <c r="AA183" s="988">
        <v>-258</v>
      </c>
      <c r="AB183" s="897">
        <v>209</v>
      </c>
      <c r="AC183" s="897">
        <v>-347</v>
      </c>
      <c r="AD183" s="897">
        <v>-505</v>
      </c>
      <c r="AE183" s="305">
        <f>AF183-SUM(AB183,AC183,AD183)</f>
        <v>99</v>
      </c>
      <c r="AF183" s="988">
        <v>-544</v>
      </c>
      <c r="AG183" s="897">
        <v>179</v>
      </c>
      <c r="AH183" s="897">
        <v>-384</v>
      </c>
      <c r="AI183" s="897">
        <v>-538</v>
      </c>
      <c r="AJ183" s="305">
        <f>AK183-SUM(AG183,AH183,AI183)</f>
        <v>129</v>
      </c>
      <c r="AK183" s="988">
        <v>-614</v>
      </c>
      <c r="AL183" s="897">
        <v>370</v>
      </c>
      <c r="AM183" s="897">
        <v>-349</v>
      </c>
      <c r="AN183" s="897">
        <v>-470</v>
      </c>
      <c r="AO183" s="305">
        <f>AP183-SUM(AL183,AM183,AN183)</f>
        <v>244</v>
      </c>
      <c r="AP183" s="988">
        <v>-205</v>
      </c>
      <c r="AQ183" s="897">
        <v>-280</v>
      </c>
      <c r="AR183" s="897">
        <v>-312</v>
      </c>
      <c r="AS183" s="897">
        <v>-672</v>
      </c>
      <c r="AT183" s="305">
        <f>AU183-SUM(AQ183,AR183,AS183)</f>
        <v>121</v>
      </c>
      <c r="AU183" s="988">
        <v>-1143</v>
      </c>
      <c r="AV183" s="897">
        <v>-258</v>
      </c>
      <c r="AW183" s="897">
        <v>-599</v>
      </c>
      <c r="AX183" s="897">
        <v>-852</v>
      </c>
      <c r="AY183" s="305">
        <f>AZ183-SUM(AV183,AW183,AX183)</f>
        <v>-67</v>
      </c>
      <c r="AZ183" s="988">
        <v>-1776</v>
      </c>
      <c r="BA183" s="897">
        <v>-127</v>
      </c>
      <c r="BB183" s="897">
        <v>-753</v>
      </c>
      <c r="BC183" s="897">
        <v>-1082</v>
      </c>
      <c r="BD183" s="305">
        <f>BE183-SUM(BA183,BB183,BC183)</f>
        <v>-42</v>
      </c>
      <c r="BE183" s="988">
        <v>-2004</v>
      </c>
      <c r="BF183" s="897">
        <v>-237</v>
      </c>
      <c r="BG183" s="897">
        <v>-921</v>
      </c>
      <c r="BH183" s="898">
        <v>-1075</v>
      </c>
      <c r="BI183" s="92"/>
      <c r="BJ183" s="989"/>
      <c r="BK183" s="92"/>
      <c r="BL183" s="92"/>
      <c r="BM183" s="92"/>
      <c r="BN183" s="92"/>
      <c r="BO183" s="989"/>
      <c r="BP183" s="989"/>
      <c r="BQ183" s="989"/>
      <c r="BR183" s="989"/>
      <c r="BS183" s="305"/>
    </row>
    <row r="184" spans="1:71" s="300" customFormat="1" ht="15" hidden="1" outlineLevel="1">
      <c r="A184" s="110" t="s">
        <v>369</v>
      </c>
      <c r="B184" s="113"/>
      <c r="C184" s="990">
        <v>23</v>
      </c>
      <c r="D184" s="990">
        <v>31</v>
      </c>
      <c r="E184" s="990">
        <v>-5</v>
      </c>
      <c r="F184" s="990">
        <v>32</v>
      </c>
      <c r="G184" s="990">
        <v>26</v>
      </c>
      <c r="H184" s="900">
        <v>-17</v>
      </c>
      <c r="I184" s="900">
        <v>54</v>
      </c>
      <c r="J184" s="900">
        <v>13</v>
      </c>
      <c r="K184" s="58">
        <f>L184-SUM(H184,I184,J184)</f>
        <v>-12</v>
      </c>
      <c r="L184" s="990">
        <v>38</v>
      </c>
      <c r="M184" s="900">
        <v>-46</v>
      </c>
      <c r="N184" s="900">
        <v>42</v>
      </c>
      <c r="O184" s="900">
        <v>-2</v>
      </c>
      <c r="P184" s="58">
        <f>Q184-SUM(M184,N184,O184)</f>
        <v>-7</v>
      </c>
      <c r="Q184" s="990">
        <v>-13</v>
      </c>
      <c r="R184" s="900">
        <v>23</v>
      </c>
      <c r="S184" s="900">
        <v>8</v>
      </c>
      <c r="T184" s="900">
        <v>9</v>
      </c>
      <c r="U184" s="58">
        <f>V184-SUM(R184,S184,T184)</f>
        <v>-23</v>
      </c>
      <c r="V184" s="990">
        <v>17</v>
      </c>
      <c r="W184" s="900">
        <v>-8</v>
      </c>
      <c r="X184" s="900">
        <v>16</v>
      </c>
      <c r="Y184" s="900">
        <v>41</v>
      </c>
      <c r="Z184" s="58">
        <f>AA184-SUM(W184,X184,Y184)</f>
        <v>-6</v>
      </c>
      <c r="AA184" s="990">
        <v>43</v>
      </c>
      <c r="AB184" s="900">
        <v>-34</v>
      </c>
      <c r="AC184" s="900">
        <v>-5</v>
      </c>
      <c r="AD184" s="900">
        <v>25</v>
      </c>
      <c r="AE184" s="58">
        <f>AF184-SUM(AB184,AC184,AD184)</f>
        <v>-47</v>
      </c>
      <c r="AF184" s="990">
        <v>-61</v>
      </c>
      <c r="AG184" s="900">
        <v>1</v>
      </c>
      <c r="AH184" s="900">
        <v>22</v>
      </c>
      <c r="AI184" s="900">
        <v>8</v>
      </c>
      <c r="AJ184" s="58">
        <f>AK184-SUM(AG184,AH184,AI184)</f>
        <v>7</v>
      </c>
      <c r="AK184" s="990">
        <v>38</v>
      </c>
      <c r="AL184" s="900">
        <v>-81</v>
      </c>
      <c r="AM184" s="900">
        <v>40</v>
      </c>
      <c r="AN184" s="900">
        <v>27</v>
      </c>
      <c r="AO184" s="58">
        <f>AP184-SUM(AL184,AM184,AN184)</f>
        <v>31</v>
      </c>
      <c r="AP184" s="990">
        <v>17</v>
      </c>
      <c r="AQ184" s="900">
        <v>408</v>
      </c>
      <c r="AR184" s="900">
        <v>-2</v>
      </c>
      <c r="AS184" s="900">
        <v>-135</v>
      </c>
      <c r="AT184" s="58">
        <f>AU184-SUM(AQ184,AR184,AS184)</f>
        <v>-32</v>
      </c>
      <c r="AU184" s="990">
        <v>239</v>
      </c>
      <c r="AV184" s="900">
        <v>-5</v>
      </c>
      <c r="AW184" s="900">
        <v>-36</v>
      </c>
      <c r="AX184" s="900">
        <v>-28</v>
      </c>
      <c r="AY184" s="58">
        <f>AZ184-SUM(AV184,AW184,AX184)</f>
        <v>-33</v>
      </c>
      <c r="AZ184" s="990">
        <v>-102</v>
      </c>
      <c r="BA184" s="900">
        <v>-21</v>
      </c>
      <c r="BB184" s="900">
        <v>54</v>
      </c>
      <c r="BC184" s="900">
        <v>48</v>
      </c>
      <c r="BD184" s="58">
        <f>BE184-SUM(BA184,BB184,BC184)</f>
        <v>3</v>
      </c>
      <c r="BE184" s="990">
        <v>84</v>
      </c>
      <c r="BF184" s="900">
        <v>-46</v>
      </c>
      <c r="BG184" s="900">
        <v>-19</v>
      </c>
      <c r="BH184" s="901">
        <v>62</v>
      </c>
      <c r="BI184" s="115"/>
      <c r="BJ184" s="995"/>
      <c r="BK184" s="115"/>
      <c r="BL184" s="115"/>
      <c r="BM184" s="115"/>
      <c r="BN184" s="115"/>
      <c r="BO184" s="995"/>
      <c r="BP184" s="995"/>
      <c r="BQ184" s="995"/>
      <c r="BR184" s="995"/>
      <c r="BS184" s="305"/>
    </row>
    <row r="185" spans="1:71" s="51" customFormat="1" ht="15" collapsed="1">
      <c r="A185" s="109" t="s">
        <v>370</v>
      </c>
      <c r="B185" s="391"/>
      <c r="C185" s="999">
        <f t="shared" si="687" ref="C185">SUM(C182:C184)</f>
        <v>26194</v>
      </c>
      <c r="D185" s="999">
        <f t="shared" si="688" ref="D185">SUM(D182:D184)</f>
        <v>25957</v>
      </c>
      <c r="E185" s="999">
        <f t="shared" si="689" ref="E185">SUM(E182:E184)</f>
        <v>25942</v>
      </c>
      <c r="F185" s="999">
        <f t="shared" si="690" ref="F185">SUM(F182:F184)</f>
        <v>26737</v>
      </c>
      <c r="G185" s="999">
        <f t="shared" si="691" ref="G185">SUM(G182:G184)</f>
        <v>27618</v>
      </c>
      <c r="H185" s="57">
        <f t="shared" si="692" ref="H185">SUM(H182:H184)</f>
        <v>7064</v>
      </c>
      <c r="I185" s="57">
        <f t="shared" si="693" ref="I185">SUM(I182:I184)</f>
        <v>7204</v>
      </c>
      <c r="J185" s="57">
        <f t="shared" si="694" ref="J185:K185">SUM(J182:J184)</f>
        <v>7307</v>
      </c>
      <c r="K185" s="57">
        <f t="shared" si="694"/>
        <v>7354</v>
      </c>
      <c r="L185" s="999">
        <f t="shared" si="695" ref="L185">SUM(L182:L184)</f>
        <v>28929</v>
      </c>
      <c r="M185" s="57">
        <f t="shared" si="696" ref="M185">SUM(M182:M184)</f>
        <v>7426</v>
      </c>
      <c r="N185" s="57">
        <f t="shared" si="697" ref="N185">SUM(N182:N184)</f>
        <v>7549</v>
      </c>
      <c r="O185" s="57">
        <f t="shared" si="698" ref="O185:P185">SUM(O182:O184)</f>
        <v>7650</v>
      </c>
      <c r="P185" s="57">
        <f t="shared" si="698"/>
        <v>7684</v>
      </c>
      <c r="Q185" s="999">
        <f t="shared" si="699" ref="Q185">SUM(Q182:Q184)</f>
        <v>30309</v>
      </c>
      <c r="R185" s="57">
        <f t="shared" si="700" ref="R185">SUM(R182:R184)</f>
        <v>7580</v>
      </c>
      <c r="S185" s="57">
        <f t="shared" si="701" ref="S185">SUM(S182:S184)</f>
        <v>7672</v>
      </c>
      <c r="T185" s="57">
        <f t="shared" si="702" ref="T185:U185">SUM(T182:T184)</f>
        <v>7719</v>
      </c>
      <c r="U185" s="57">
        <f t="shared" si="702"/>
        <v>7756</v>
      </c>
      <c r="V185" s="999">
        <f t="shared" si="703" ref="V185">SUM(V182:V184)</f>
        <v>30727</v>
      </c>
      <c r="W185" s="57">
        <f t="shared" si="704" ref="W185">SUM(W182:W184)</f>
        <v>7759</v>
      </c>
      <c r="X185" s="57">
        <f t="shared" si="705" ref="X185">SUM(X182:X184)</f>
        <v>7807</v>
      </c>
      <c r="Y185" s="57">
        <f t="shared" si="706" ref="Y185:Z185">SUM(Y182:Y184)</f>
        <v>7896</v>
      </c>
      <c r="Z185" s="57">
        <f t="shared" si="706"/>
        <v>7971</v>
      </c>
      <c r="AA185" s="999">
        <f t="shared" si="707" ref="AA185">SUM(AA182:AA184)</f>
        <v>31433</v>
      </c>
      <c r="AB185" s="57">
        <f t="shared" si="708" ref="AB185">SUM(AB182:AB184)</f>
        <v>8019</v>
      </c>
      <c r="AC185" s="57">
        <f t="shared" si="709" ref="AC185">SUM(AC182:AC184)</f>
        <v>8189</v>
      </c>
      <c r="AD185" s="57">
        <f t="shared" si="710" ref="AD185:AE185">SUM(AD182:AD184)</f>
        <v>8320</v>
      </c>
      <c r="AE185" s="57">
        <f t="shared" si="710"/>
        <v>8422</v>
      </c>
      <c r="AF185" s="999">
        <f t="shared" si="711" ref="AF185">SUM(AF182:AF184)</f>
        <v>32950</v>
      </c>
      <c r="AG185" s="57">
        <f t="shared" si="712" ref="AG185">SUM(AG182:AG184)</f>
        <v>8507</v>
      </c>
      <c r="AH185" s="57">
        <f t="shared" si="713" ref="AH185">SUM(AH182:AH184)</f>
        <v>8681</v>
      </c>
      <c r="AI185" s="57">
        <f t="shared" si="714" ref="AI185">SUM(AI182:AI184)</f>
        <v>8782</v>
      </c>
      <c r="AJ185" s="57">
        <f t="shared" si="715" ref="AJ185">SUM(AJ182:AJ184)</f>
        <v>8873</v>
      </c>
      <c r="AK185" s="999">
        <f t="shared" si="716" ref="AK185">SUM(AK182:AK184)</f>
        <v>34843</v>
      </c>
      <c r="AL185" s="57">
        <f t="shared" si="717" ref="AL185">SUM(AL182:AL184)</f>
        <v>8881</v>
      </c>
      <c r="AM185" s="57">
        <f>SUM(AM182:AM184)</f>
        <v>8863</v>
      </c>
      <c r="AN185" s="57">
        <f>SUM(AN182:AN184)</f>
        <v>8952</v>
      </c>
      <c r="AO185" s="57">
        <f t="shared" si="718" ref="AO185:AP185">SUM(AO182:AO184)</f>
        <v>8884</v>
      </c>
      <c r="AP185" s="999">
        <f t="shared" si="718"/>
        <v>35580</v>
      </c>
      <c r="AQ185" s="57">
        <f t="shared" si="719" ref="AQ185:AV185">SUM(AQ182:AQ184)</f>
        <v>9896</v>
      </c>
      <c r="AR185" s="57">
        <f t="shared" si="719"/>
        <v>10009</v>
      </c>
      <c r="AS185" s="57">
        <f t="shared" si="719"/>
        <v>10159</v>
      </c>
      <c r="AT185" s="57">
        <f t="shared" si="719"/>
        <v>10390</v>
      </c>
      <c r="AU185" s="999">
        <f t="shared" si="719"/>
        <v>40454</v>
      </c>
      <c r="AV185" s="57">
        <f t="shared" si="719"/>
        <v>10498</v>
      </c>
      <c r="AW185" s="57">
        <f t="shared" si="720" ref="AW185:BB185">SUM(AW182:AW184)</f>
        <v>10874</v>
      </c>
      <c r="AX185" s="57">
        <f t="shared" si="720"/>
        <v>11157</v>
      </c>
      <c r="AY185" s="57">
        <f t="shared" si="720"/>
        <v>11380</v>
      </c>
      <c r="AZ185" s="999">
        <f t="shared" si="720"/>
        <v>43909</v>
      </c>
      <c r="BA185" s="57">
        <f t="shared" si="720"/>
        <v>11635</v>
      </c>
      <c r="BB185" s="57">
        <f t="shared" si="720"/>
        <v>11921</v>
      </c>
      <c r="BC185" s="57">
        <f t="shared" si="721" ref="BC185:BH185">SUM(BC182:BC184)</f>
        <v>12270</v>
      </c>
      <c r="BD185" s="57">
        <f t="shared" si="721"/>
        <v>12601</v>
      </c>
      <c r="BE185" s="999">
        <f t="shared" si="721"/>
        <v>48427</v>
      </c>
      <c r="BF185" s="57">
        <f t="shared" si="721"/>
        <v>12900</v>
      </c>
      <c r="BG185" s="57">
        <f t="shared" si="721"/>
        <v>13339</v>
      </c>
      <c r="BH185" s="745">
        <f t="shared" si="721"/>
        <v>13694</v>
      </c>
      <c r="BI185" s="128">
        <f t="shared" si="722" ref="BI185:BR185">BI63</f>
        <v>13486.062999999998</v>
      </c>
      <c r="BJ185" s="1000">
        <f t="shared" si="722"/>
        <v>53419.063000000002</v>
      </c>
      <c r="BK185" s="128">
        <f t="shared" si="722"/>
        <v>14110.312</v>
      </c>
      <c r="BL185" s="128">
        <f t="shared" si="722"/>
        <v>15213.136000000002</v>
      </c>
      <c r="BM185" s="128">
        <f t="shared" si="722"/>
        <v>15649.297</v>
      </c>
      <c r="BN185" s="128">
        <f t="shared" si="722"/>
        <v>14591.72883</v>
      </c>
      <c r="BO185" s="1000">
        <f t="shared" si="722"/>
        <v>59564.473830000003</v>
      </c>
      <c r="BP185" s="1000">
        <f t="shared" si="722"/>
        <v>59988.025056100014</v>
      </c>
      <c r="BQ185" s="1000">
        <f t="shared" si="722"/>
        <v>61587.050615173015</v>
      </c>
      <c r="BR185" s="1000">
        <f t="shared" si="722"/>
        <v>63419.9621336282</v>
      </c>
      <c r="BS185" s="57"/>
    </row>
    <row r="186" spans="1:71" s="300" customFormat="1" ht="15">
      <c r="A186" s="304" t="s">
        <v>371</v>
      </c>
      <c r="B186" s="233"/>
      <c r="C186" s="989"/>
      <c r="D186" s="989"/>
      <c r="E186" s="989"/>
      <c r="F186" s="989"/>
      <c r="G186" s="989"/>
      <c r="H186" s="92"/>
      <c r="I186" s="92"/>
      <c r="J186" s="92"/>
      <c r="K186" s="305">
        <f t="shared" si="723" ref="K186:K192">L186-SUM(H186,I186,J186)</f>
        <v>0</v>
      </c>
      <c r="L186" s="989"/>
      <c r="M186" s="92"/>
      <c r="N186" s="92"/>
      <c r="O186" s="92"/>
      <c r="P186" s="305">
        <f t="shared" si="724" ref="P186:P192">Q186-SUM(M186,N186,O186)</f>
        <v>0</v>
      </c>
      <c r="Q186" s="989"/>
      <c r="R186" s="92"/>
      <c r="S186" s="92"/>
      <c r="T186" s="92"/>
      <c r="U186" s="305">
        <f t="shared" si="725" ref="U186:U192">V186-SUM(R186,S186,T186)</f>
        <v>0</v>
      </c>
      <c r="V186" s="989"/>
      <c r="W186" s="897">
        <v>167</v>
      </c>
      <c r="X186" s="897">
        <v>181</v>
      </c>
      <c r="Y186" s="897">
        <v>185</v>
      </c>
      <c r="Z186" s="305">
        <f t="shared" si="726" ref="Z186:Z192">AA186-SUM(W186,X186,Y186)</f>
        <v>170</v>
      </c>
      <c r="AA186" s="988">
        <v>703</v>
      </c>
      <c r="AB186" s="897">
        <v>174</v>
      </c>
      <c r="AC186" s="897">
        <v>184</v>
      </c>
      <c r="AD186" s="897">
        <v>192</v>
      </c>
      <c r="AE186" s="305">
        <f t="shared" si="727" ref="AE186:AE192">AF186-SUM(AB186,AC186,AD186)</f>
        <v>188</v>
      </c>
      <c r="AF186" s="988">
        <v>738</v>
      </c>
      <c r="AG186" s="897">
        <v>176</v>
      </c>
      <c r="AH186" s="897">
        <v>190</v>
      </c>
      <c r="AI186" s="897">
        <v>195</v>
      </c>
      <c r="AJ186" s="305">
        <f t="shared" si="728" ref="AJ186:AJ192">AK186-SUM(AG186,AH186,AI186)</f>
        <v>180</v>
      </c>
      <c r="AK186" s="988">
        <v>741</v>
      </c>
      <c r="AL186" s="897">
        <v>213</v>
      </c>
      <c r="AM186" s="897">
        <v>206</v>
      </c>
      <c r="AN186" s="897">
        <v>220</v>
      </c>
      <c r="AO186" s="897">
        <v>218</v>
      </c>
      <c r="AP186" s="988">
        <v>736</v>
      </c>
      <c r="AQ186" s="897">
        <v>385</v>
      </c>
      <c r="AR186" s="897">
        <v>321</v>
      </c>
      <c r="AS186" s="897">
        <v>365</v>
      </c>
      <c r="AT186" s="305">
        <f t="shared" si="729" ref="AT186:AT192">AU186-SUM(AQ186,AR186,AS186)</f>
        <v>366</v>
      </c>
      <c r="AU186" s="988">
        <v>1437</v>
      </c>
      <c r="AV186" s="897">
        <v>347</v>
      </c>
      <c r="AW186" s="897">
        <v>355</v>
      </c>
      <c r="AX186" s="897">
        <v>364</v>
      </c>
      <c r="AY186" s="305">
        <f t="shared" si="730" ref="AY186:AY192">AZ186-SUM(AV186,AW186,AX186)</f>
        <v>350</v>
      </c>
      <c r="AZ186" s="988">
        <v>1416</v>
      </c>
      <c r="BA186" s="897">
        <v>353</v>
      </c>
      <c r="BB186" s="897">
        <v>389</v>
      </c>
      <c r="BC186" s="897">
        <v>393</v>
      </c>
      <c r="BD186" s="305">
        <f t="shared" si="731" ref="BD186:BD192">BE186-SUM(BA186,BB186,BC186)</f>
        <v>410</v>
      </c>
      <c r="BE186" s="988">
        <v>1545</v>
      </c>
      <c r="BF186" s="897">
        <v>430</v>
      </c>
      <c r="BG186" s="897">
        <v>441</v>
      </c>
      <c r="BH186" s="898">
        <v>531</v>
      </c>
      <c r="BI186" s="92"/>
      <c r="BJ186" s="989"/>
      <c r="BK186" s="92"/>
      <c r="BL186" s="92"/>
      <c r="BM186" s="92"/>
      <c r="BN186" s="92"/>
      <c r="BO186" s="989"/>
      <c r="BP186" s="989"/>
      <c r="BQ186" s="989"/>
      <c r="BR186" s="989"/>
      <c r="BS186" s="305"/>
    </row>
    <row r="187" spans="1:71" s="300" customFormat="1" ht="15" hidden="1" outlineLevel="1">
      <c r="A187" s="304" t="s">
        <v>372</v>
      </c>
      <c r="B187" s="233"/>
      <c r="C187" s="988">
        <v>-18746</v>
      </c>
      <c r="D187" s="988">
        <v>-18951</v>
      </c>
      <c r="E187" s="988">
        <v>-20161</v>
      </c>
      <c r="F187" s="988">
        <v>-18484</v>
      </c>
      <c r="G187" s="988">
        <v>-17911</v>
      </c>
      <c r="H187" s="897">
        <v>-4759</v>
      </c>
      <c r="I187" s="897">
        <v>-5142</v>
      </c>
      <c r="J187" s="897">
        <v>-4909</v>
      </c>
      <c r="K187" s="305">
        <f t="shared" si="723"/>
        <v>-4618</v>
      </c>
      <c r="L187" s="988">
        <v>-19428</v>
      </c>
      <c r="M187" s="897">
        <v>-4993</v>
      </c>
      <c r="N187" s="897">
        <v>-5587</v>
      </c>
      <c r="O187" s="897">
        <v>-5255</v>
      </c>
      <c r="P187" s="305">
        <f t="shared" si="724"/>
        <v>-5199</v>
      </c>
      <c r="Q187" s="988">
        <v>-21034</v>
      </c>
      <c r="R187" s="897">
        <v>-5623</v>
      </c>
      <c r="S187" s="897">
        <v>-5837</v>
      </c>
      <c r="T187" s="897">
        <v>-5484</v>
      </c>
      <c r="U187" s="305">
        <f t="shared" si="725"/>
        <v>-5024</v>
      </c>
      <c r="V187" s="988">
        <v>-21968</v>
      </c>
      <c r="W187" s="897">
        <v>-5328</v>
      </c>
      <c r="X187" s="897">
        <v>-5607</v>
      </c>
      <c r="Y187" s="897">
        <v>-5441</v>
      </c>
      <c r="Z187" s="305">
        <f t="shared" si="726"/>
        <v>-5190</v>
      </c>
      <c r="AA187" s="988">
        <v>-21566</v>
      </c>
      <c r="AB187" s="897">
        <v>-5038</v>
      </c>
      <c r="AC187" s="897">
        <v>-5689</v>
      </c>
      <c r="AD187" s="897">
        <v>-5717</v>
      </c>
      <c r="AE187" s="305">
        <f t="shared" si="727"/>
        <v>-5991</v>
      </c>
      <c r="AF187" s="988">
        <v>-22435</v>
      </c>
      <c r="AG187" s="897">
        <v>-5730</v>
      </c>
      <c r="AH187" s="897">
        <v>-6272</v>
      </c>
      <c r="AI187" s="897">
        <v>-5960</v>
      </c>
      <c r="AJ187" s="305">
        <f t="shared" si="728"/>
        <v>-5660</v>
      </c>
      <c r="AK187" s="988">
        <v>-23622</v>
      </c>
      <c r="AL187" s="897">
        <v>-5251</v>
      </c>
      <c r="AM187" s="897">
        <v>-5139</v>
      </c>
      <c r="AN187" s="897">
        <v>-5968</v>
      </c>
      <c r="AO187" s="305">
        <f>AP187-SUM(AL187,AM187,AN187)</f>
        <v>-5268</v>
      </c>
      <c r="AP187" s="988">
        <v>-21626</v>
      </c>
      <c r="AQ187" s="897">
        <v>-5945</v>
      </c>
      <c r="AR187" s="897">
        <v>-7103</v>
      </c>
      <c r="AS187" s="897">
        <v>-8145</v>
      </c>
      <c r="AT187" s="305">
        <f t="shared" si="729"/>
        <v>-7683</v>
      </c>
      <c r="AU187" s="988">
        <v>-28876</v>
      </c>
      <c r="AV187" s="897">
        <v>-7702</v>
      </c>
      <c r="AW187" s="897">
        <v>-9231</v>
      </c>
      <c r="AX187" s="897">
        <v>-9934</v>
      </c>
      <c r="AY187" s="305">
        <f t="shared" si="730"/>
        <v>-9865</v>
      </c>
      <c r="AZ187" s="988">
        <v>-36732</v>
      </c>
      <c r="BA187" s="897">
        <v>-10180</v>
      </c>
      <c r="BB187" s="897">
        <v>-11575</v>
      </c>
      <c r="BC187" s="897">
        <v>-10077</v>
      </c>
      <c r="BD187" s="305">
        <f t="shared" si="731"/>
        <v>-8621</v>
      </c>
      <c r="BE187" s="988">
        <v>-40453</v>
      </c>
      <c r="BF187" s="897">
        <v>-9349</v>
      </c>
      <c r="BG187" s="897">
        <v>-10649</v>
      </c>
      <c r="BH187" s="898">
        <v>-10249</v>
      </c>
      <c r="BI187" s="92"/>
      <c r="BJ187" s="989"/>
      <c r="BK187" s="92"/>
      <c r="BL187" s="92"/>
      <c r="BM187" s="92"/>
      <c r="BN187" s="92"/>
      <c r="BO187" s="989"/>
      <c r="BP187" s="989"/>
      <c r="BQ187" s="989"/>
      <c r="BR187" s="989"/>
      <c r="BS187" s="305"/>
    </row>
    <row r="188" spans="1:71" s="300" customFormat="1" ht="15" hidden="1" outlineLevel="1">
      <c r="A188" s="304" t="s">
        <v>373</v>
      </c>
      <c r="B188" s="233"/>
      <c r="C188" s="989"/>
      <c r="D188" s="989"/>
      <c r="E188" s="989"/>
      <c r="F188" s="989"/>
      <c r="G188" s="989"/>
      <c r="H188" s="92"/>
      <c r="I188" s="92"/>
      <c r="J188" s="92"/>
      <c r="K188" s="305">
        <f t="shared" si="723"/>
        <v>0</v>
      </c>
      <c r="L188" s="989"/>
      <c r="M188" s="92"/>
      <c r="N188" s="92"/>
      <c r="O188" s="92"/>
      <c r="P188" s="305">
        <f t="shared" si="724"/>
        <v>0</v>
      </c>
      <c r="Q188" s="989"/>
      <c r="R188" s="92"/>
      <c r="S188" s="92"/>
      <c r="T188" s="92"/>
      <c r="U188" s="305">
        <f t="shared" si="725"/>
        <v>0</v>
      </c>
      <c r="V188" s="989"/>
      <c r="W188" s="92"/>
      <c r="X188" s="92"/>
      <c r="Y188" s="92"/>
      <c r="Z188" s="305">
        <f t="shared" si="726"/>
        <v>0</v>
      </c>
      <c r="AA188" s="989"/>
      <c r="AB188" s="92"/>
      <c r="AC188" s="92"/>
      <c r="AD188" s="92"/>
      <c r="AE188" s="305">
        <f t="shared" si="727"/>
        <v>0</v>
      </c>
      <c r="AF188" s="989"/>
      <c r="AG188" s="92"/>
      <c r="AH188" s="92"/>
      <c r="AI188" s="92"/>
      <c r="AJ188" s="305">
        <f t="shared" si="728"/>
        <v>0</v>
      </c>
      <c r="AK188" s="989"/>
      <c r="AL188" s="897">
        <v>-210</v>
      </c>
      <c r="AM188" s="897">
        <v>-738</v>
      </c>
      <c r="AN188" s="897">
        <v>0</v>
      </c>
      <c r="AO188" s="305">
        <f>AP188-SUM(AL188,AM188,AN188)</f>
        <v>0</v>
      </c>
      <c r="AP188" s="988">
        <v>-948</v>
      </c>
      <c r="AQ188" s="897">
        <v>0</v>
      </c>
      <c r="AR188" s="897">
        <v>-29</v>
      </c>
      <c r="AS188" s="897">
        <v>0</v>
      </c>
      <c r="AT188" s="305">
        <f t="shared" si="729"/>
        <v>0</v>
      </c>
      <c r="AU188" s="988">
        <v>-29</v>
      </c>
      <c r="AV188" s="897">
        <v>0</v>
      </c>
      <c r="AW188" s="897">
        <v>0</v>
      </c>
      <c r="AX188" s="897">
        <v>0</v>
      </c>
      <c r="AY188" s="305">
        <f t="shared" si="730"/>
        <v>0</v>
      </c>
      <c r="AZ188" s="988">
        <v>0</v>
      </c>
      <c r="BA188" s="92"/>
      <c r="BB188" s="92"/>
      <c r="BC188" s="92"/>
      <c r="BD188" s="305">
        <f t="shared" si="731"/>
        <v>0</v>
      </c>
      <c r="BE188" s="989"/>
      <c r="BF188" s="92"/>
      <c r="BG188" s="92"/>
      <c r="BH188" s="464"/>
      <c r="BI188" s="92"/>
      <c r="BJ188" s="989"/>
      <c r="BK188" s="92"/>
      <c r="BL188" s="92"/>
      <c r="BM188" s="92"/>
      <c r="BN188" s="92"/>
      <c r="BO188" s="989"/>
      <c r="BP188" s="989"/>
      <c r="BQ188" s="989"/>
      <c r="BR188" s="989"/>
      <c r="BS188" s="305"/>
    </row>
    <row r="189" spans="1:71" s="300" customFormat="1" ht="15" hidden="1" outlineLevel="1">
      <c r="A189" s="304" t="s">
        <v>374</v>
      </c>
      <c r="B189" s="233"/>
      <c r="C189" s="988">
        <v>-3789</v>
      </c>
      <c r="D189" s="988">
        <v>-3678</v>
      </c>
      <c r="E189" s="988">
        <v>-3477</v>
      </c>
      <c r="F189" s="988">
        <v>-3483</v>
      </c>
      <c r="G189" s="988">
        <v>-3674</v>
      </c>
      <c r="H189" s="897">
        <v>-961</v>
      </c>
      <c r="I189" s="897">
        <v>-969</v>
      </c>
      <c r="J189" s="897">
        <v>-972</v>
      </c>
      <c r="K189" s="305">
        <f t="shared" si="723"/>
        <v>-973</v>
      </c>
      <c r="L189" s="988">
        <v>-3875</v>
      </c>
      <c r="M189" s="897">
        <v>-1000</v>
      </c>
      <c r="N189" s="897">
        <v>-1021</v>
      </c>
      <c r="O189" s="897">
        <v>-1029</v>
      </c>
      <c r="P189" s="305">
        <f t="shared" si="724"/>
        <v>-1052</v>
      </c>
      <c r="Q189" s="988">
        <v>-4102</v>
      </c>
      <c r="R189" s="897">
        <v>-1006</v>
      </c>
      <c r="S189" s="897">
        <v>-1005</v>
      </c>
      <c r="T189" s="897">
        <v>-1013</v>
      </c>
      <c r="U189" s="305">
        <f t="shared" si="725"/>
        <v>-1029</v>
      </c>
      <c r="V189" s="988">
        <v>-4053</v>
      </c>
      <c r="W189" s="897">
        <v>-1022</v>
      </c>
      <c r="X189" s="897">
        <v>-1032</v>
      </c>
      <c r="Y189" s="897">
        <v>-1060</v>
      </c>
      <c r="Z189" s="305">
        <f t="shared" si="726"/>
        <v>-1091</v>
      </c>
      <c r="AA189" s="988">
        <v>-4205</v>
      </c>
      <c r="AB189" s="897">
        <v>-1088</v>
      </c>
      <c r="AC189" s="897">
        <v>-1110</v>
      </c>
      <c r="AD189" s="897">
        <v>-1133</v>
      </c>
      <c r="AE189" s="305">
        <f t="shared" si="727"/>
        <v>-1144</v>
      </c>
      <c r="AF189" s="988">
        <v>-4475</v>
      </c>
      <c r="AG189" s="897">
        <v>-1164</v>
      </c>
      <c r="AH189" s="897">
        <v>-1163</v>
      </c>
      <c r="AI189" s="897">
        <v>-1167</v>
      </c>
      <c r="AJ189" s="305">
        <f t="shared" si="728"/>
        <v>-1155</v>
      </c>
      <c r="AK189" s="988">
        <v>-4649</v>
      </c>
      <c r="AL189" s="897">
        <v>-1167</v>
      </c>
      <c r="AM189" s="897">
        <v>-1149</v>
      </c>
      <c r="AN189" s="897">
        <v>-1158</v>
      </c>
      <c r="AO189" s="305">
        <f>AP189-SUM(AL189,AM189,AN189)</f>
        <v>-1168</v>
      </c>
      <c r="AP189" s="988">
        <v>-4642</v>
      </c>
      <c r="AQ189" s="897">
        <v>-1303</v>
      </c>
      <c r="AR189" s="897">
        <v>-1319</v>
      </c>
      <c r="AS189" s="897">
        <v>-1346</v>
      </c>
      <c r="AT189" s="305">
        <f t="shared" si="729"/>
        <v>-1345</v>
      </c>
      <c r="AU189" s="988">
        <v>-5313</v>
      </c>
      <c r="AV189" s="897">
        <v>-1348</v>
      </c>
      <c r="AW189" s="897">
        <v>-1355</v>
      </c>
      <c r="AX189" s="897">
        <v>-1414</v>
      </c>
      <c r="AY189" s="305">
        <f t="shared" si="730"/>
        <v>-1453</v>
      </c>
      <c r="AZ189" s="988">
        <v>-5570</v>
      </c>
      <c r="BA189" s="897">
        <v>-1452</v>
      </c>
      <c r="BB189" s="897">
        <v>-1496</v>
      </c>
      <c r="BC189" s="897">
        <v>-1533</v>
      </c>
      <c r="BD189" s="305">
        <f t="shared" si="731"/>
        <v>-1589</v>
      </c>
      <c r="BE189" s="988">
        <v>-6070</v>
      </c>
      <c r="BF189" s="897">
        <v>-1608</v>
      </c>
      <c r="BG189" s="897">
        <v>-1673</v>
      </c>
      <c r="BH189" s="898">
        <v>-1696</v>
      </c>
      <c r="BI189" s="92"/>
      <c r="BJ189" s="989"/>
      <c r="BK189" s="92"/>
      <c r="BL189" s="92"/>
      <c r="BM189" s="92"/>
      <c r="BN189" s="92"/>
      <c r="BO189" s="989"/>
      <c r="BP189" s="989"/>
      <c r="BQ189" s="989"/>
      <c r="BR189" s="989"/>
      <c r="BS189" s="305"/>
    </row>
    <row r="190" spans="1:71" s="300" customFormat="1" ht="15" hidden="1" outlineLevel="1">
      <c r="A190" s="304" t="s">
        <v>375</v>
      </c>
      <c r="B190" s="233"/>
      <c r="C190" s="988">
        <v>-2559</v>
      </c>
      <c r="D190" s="988">
        <v>-2800</v>
      </c>
      <c r="E190" s="988">
        <v>-3143</v>
      </c>
      <c r="F190" s="988">
        <v>-3536</v>
      </c>
      <c r="G190" s="988">
        <v>-3752</v>
      </c>
      <c r="H190" s="897">
        <v>-968</v>
      </c>
      <c r="I190" s="897">
        <v>-901</v>
      </c>
      <c r="J190" s="897">
        <v>-948</v>
      </c>
      <c r="K190" s="305">
        <f t="shared" si="723"/>
        <v>-1021</v>
      </c>
      <c r="L190" s="988">
        <v>-3838</v>
      </c>
      <c r="M190" s="897">
        <v>-962</v>
      </c>
      <c r="N190" s="897">
        <v>-934</v>
      </c>
      <c r="O190" s="897">
        <v>-867</v>
      </c>
      <c r="P190" s="305">
        <f t="shared" si="724"/>
        <v>-812</v>
      </c>
      <c r="Q190" s="988">
        <v>-3575</v>
      </c>
      <c r="R190" s="897">
        <v>-823</v>
      </c>
      <c r="S190" s="897">
        <v>-883</v>
      </c>
      <c r="T190" s="897">
        <v>-858</v>
      </c>
      <c r="U190" s="305">
        <f t="shared" si="725"/>
        <v>-893</v>
      </c>
      <c r="V190" s="988">
        <v>-3457</v>
      </c>
      <c r="W190" s="897">
        <v>-1018</v>
      </c>
      <c r="X190" s="897">
        <v>-1033</v>
      </c>
      <c r="Y190" s="897">
        <v>-1084</v>
      </c>
      <c r="Z190" s="305">
        <f t="shared" si="726"/>
        <v>-1127</v>
      </c>
      <c r="AA190" s="988">
        <v>-4262</v>
      </c>
      <c r="AB190" s="897">
        <v>-1044</v>
      </c>
      <c r="AC190" s="897">
        <v>-1098</v>
      </c>
      <c r="AD190" s="897">
        <v>-1143</v>
      </c>
      <c r="AE190" s="305">
        <f t="shared" si="727"/>
        <v>-1180</v>
      </c>
      <c r="AF190" s="988">
        <v>-4465</v>
      </c>
      <c r="AG190" s="897">
        <v>-1071</v>
      </c>
      <c r="AH190" s="897">
        <v>-1060</v>
      </c>
      <c r="AI190" s="897">
        <v>-1114</v>
      </c>
      <c r="AJ190" s="305">
        <f t="shared" si="728"/>
        <v>-1175</v>
      </c>
      <c r="AK190" s="988">
        <v>-4420</v>
      </c>
      <c r="AL190" s="897">
        <v>-1114</v>
      </c>
      <c r="AM190" s="897">
        <v>-1133</v>
      </c>
      <c r="AN190" s="897">
        <v>-1107</v>
      </c>
      <c r="AO190" s="897">
        <v>-1207</v>
      </c>
      <c r="AP190" s="988">
        <v>-4443</v>
      </c>
      <c r="AQ190" s="897">
        <v>-1325</v>
      </c>
      <c r="AR190" s="897">
        <v>-1313</v>
      </c>
      <c r="AS190" s="897">
        <v>-1477</v>
      </c>
      <c r="AT190" s="305">
        <f t="shared" si="729"/>
        <v>-1507</v>
      </c>
      <c r="AU190" s="988">
        <v>-5622</v>
      </c>
      <c r="AV190" s="897">
        <v>-1445</v>
      </c>
      <c r="AW190" s="897">
        <v>-1450</v>
      </c>
      <c r="AX190" s="897">
        <v>-1390</v>
      </c>
      <c r="AY190" s="305">
        <f t="shared" si="730"/>
        <v>-1365</v>
      </c>
      <c r="AZ190" s="988">
        <v>-5650</v>
      </c>
      <c r="BA190" s="897">
        <v>-1279</v>
      </c>
      <c r="BB190" s="897">
        <v>-1249</v>
      </c>
      <c r="BC190" s="897">
        <v>-1333</v>
      </c>
      <c r="BD190" s="305">
        <f t="shared" si="731"/>
        <v>-1394</v>
      </c>
      <c r="BE190" s="988">
        <v>-5255</v>
      </c>
      <c r="BF190" s="897">
        <v>-1417</v>
      </c>
      <c r="BG190" s="897">
        <v>-1537</v>
      </c>
      <c r="BH190" s="898">
        <v>-1710</v>
      </c>
      <c r="BI190" s="92"/>
      <c r="BJ190" s="989"/>
      <c r="BK190" s="92"/>
      <c r="BL190" s="92"/>
      <c r="BM190" s="92"/>
      <c r="BN190" s="92"/>
      <c r="BO190" s="989"/>
      <c r="BP190" s="989"/>
      <c r="BQ190" s="989"/>
      <c r="BR190" s="989"/>
      <c r="BS190" s="305"/>
    </row>
    <row r="191" spans="1:71" s="300" customFormat="1" ht="15" hidden="1" outlineLevel="1">
      <c r="A191" s="304" t="s">
        <v>376</v>
      </c>
      <c r="B191" s="233"/>
      <c r="C191" s="988">
        <v>-105</v>
      </c>
      <c r="D191" s="988">
        <v>-33</v>
      </c>
      <c r="E191" s="988">
        <v>-43</v>
      </c>
      <c r="F191" s="988">
        <v>-34</v>
      </c>
      <c r="G191" s="988">
        <v>-63</v>
      </c>
      <c r="H191" s="897">
        <v>-4</v>
      </c>
      <c r="I191" s="897">
        <v>-3</v>
      </c>
      <c r="J191" s="897">
        <v>-4</v>
      </c>
      <c r="K191" s="305">
        <f t="shared" si="723"/>
        <v>-5</v>
      </c>
      <c r="L191" s="988">
        <v>-16</v>
      </c>
      <c r="M191" s="897">
        <v>-4</v>
      </c>
      <c r="N191" s="897">
        <v>-17</v>
      </c>
      <c r="O191" s="897">
        <v>-8</v>
      </c>
      <c r="P191" s="305">
        <f t="shared" si="724"/>
        <v>-10</v>
      </c>
      <c r="Q191" s="988">
        <v>-39</v>
      </c>
      <c r="R191" s="897">
        <v>-5</v>
      </c>
      <c r="S191" s="897">
        <v>-10</v>
      </c>
      <c r="T191" s="897">
        <v>-5</v>
      </c>
      <c r="U191" s="305">
        <f t="shared" si="725"/>
        <v>-9</v>
      </c>
      <c r="V191" s="988">
        <v>-29</v>
      </c>
      <c r="W191" s="897">
        <v>-10</v>
      </c>
      <c r="X191" s="897">
        <v>-51</v>
      </c>
      <c r="Y191" s="897">
        <v>-12</v>
      </c>
      <c r="Z191" s="305">
        <f t="shared" si="726"/>
        <v>-18</v>
      </c>
      <c r="AA191" s="988">
        <v>-91</v>
      </c>
      <c r="AB191" s="897">
        <v>-18</v>
      </c>
      <c r="AC191" s="897">
        <v>-21</v>
      </c>
      <c r="AD191" s="897">
        <v>-12</v>
      </c>
      <c r="AE191" s="305">
        <f t="shared" si="727"/>
        <v>-9</v>
      </c>
      <c r="AF191" s="988">
        <v>-60</v>
      </c>
      <c r="AG191" s="897">
        <v>-18</v>
      </c>
      <c r="AH191" s="897">
        <v>-9</v>
      </c>
      <c r="AI191" s="897">
        <v>1</v>
      </c>
      <c r="AJ191" s="305">
        <f t="shared" si="728"/>
        <v>-12</v>
      </c>
      <c r="AK191" s="988">
        <v>-38</v>
      </c>
      <c r="AL191" s="897">
        <v>-4</v>
      </c>
      <c r="AM191" s="897">
        <v>-8</v>
      </c>
      <c r="AN191" s="897">
        <v>-187</v>
      </c>
      <c r="AO191" s="305">
        <f>AP191-SUM(AL191,AM191,AN191)</f>
        <v>-36</v>
      </c>
      <c r="AP191" s="988">
        <v>-235</v>
      </c>
      <c r="AQ191" s="897">
        <v>-32</v>
      </c>
      <c r="AR191" s="897">
        <v>-66</v>
      </c>
      <c r="AS191" s="897">
        <v>-15</v>
      </c>
      <c r="AT191" s="305">
        <f t="shared" si="729"/>
        <v>-32</v>
      </c>
      <c r="AU191" s="988">
        <v>-145</v>
      </c>
      <c r="AV191" s="897">
        <v>-12</v>
      </c>
      <c r="AW191" s="897">
        <v>2</v>
      </c>
      <c r="AX191" s="897">
        <v>-14</v>
      </c>
      <c r="AY191" s="305">
        <f t="shared" si="730"/>
        <v>-20</v>
      </c>
      <c r="AZ191" s="988">
        <v>-44</v>
      </c>
      <c r="BA191" s="897">
        <v>-21</v>
      </c>
      <c r="BB191" s="897">
        <v>-26</v>
      </c>
      <c r="BC191" s="897">
        <v>-74</v>
      </c>
      <c r="BD191" s="305">
        <f t="shared" si="731"/>
        <v>-22</v>
      </c>
      <c r="BE191" s="988">
        <v>-143</v>
      </c>
      <c r="BF191" s="897">
        <v>-7</v>
      </c>
      <c r="BG191" s="897">
        <v>-15</v>
      </c>
      <c r="BH191" s="898">
        <v>-23</v>
      </c>
      <c r="BI191" s="92"/>
      <c r="BJ191" s="989"/>
      <c r="BK191" s="92"/>
      <c r="BL191" s="92"/>
      <c r="BM191" s="92"/>
      <c r="BN191" s="92"/>
      <c r="BO191" s="989"/>
      <c r="BP191" s="989"/>
      <c r="BQ191" s="989"/>
      <c r="BR191" s="989"/>
      <c r="BS191" s="305"/>
    </row>
    <row r="192" spans="1:71" s="300" customFormat="1" ht="15" hidden="1" outlineLevel="1">
      <c r="A192" s="304" t="s">
        <v>377</v>
      </c>
      <c r="B192" s="233"/>
      <c r="C192" s="989"/>
      <c r="D192" s="989"/>
      <c r="E192" s="989"/>
      <c r="F192" s="989"/>
      <c r="G192" s="989"/>
      <c r="H192" s="92"/>
      <c r="I192" s="92"/>
      <c r="J192" s="92"/>
      <c r="K192" s="305">
        <f t="shared" si="723"/>
        <v>0</v>
      </c>
      <c r="L192" s="989"/>
      <c r="M192" s="92"/>
      <c r="N192" s="92"/>
      <c r="O192" s="92"/>
      <c r="P192" s="305">
        <f t="shared" si="724"/>
        <v>0</v>
      </c>
      <c r="Q192" s="989"/>
      <c r="R192" s="92"/>
      <c r="S192" s="92"/>
      <c r="T192" s="92"/>
      <c r="U192" s="305">
        <f t="shared" si="725"/>
        <v>0</v>
      </c>
      <c r="V192" s="989"/>
      <c r="W192" s="92"/>
      <c r="X192" s="92"/>
      <c r="Y192" s="92"/>
      <c r="Z192" s="305">
        <f t="shared" si="726"/>
        <v>0</v>
      </c>
      <c r="AA192" s="989"/>
      <c r="AB192" s="897">
        <v>0</v>
      </c>
      <c r="AC192" s="897">
        <v>0</v>
      </c>
      <c r="AD192" s="897">
        <v>0</v>
      </c>
      <c r="AE192" s="305">
        <f t="shared" si="727"/>
        <v>0</v>
      </c>
      <c r="AF192" s="988">
        <v>0</v>
      </c>
      <c r="AG192" s="897">
        <v>0</v>
      </c>
      <c r="AH192" s="897">
        <v>0</v>
      </c>
      <c r="AI192" s="897">
        <v>0</v>
      </c>
      <c r="AJ192" s="305">
        <f t="shared" si="728"/>
        <v>-51</v>
      </c>
      <c r="AK192" s="988">
        <v>-51</v>
      </c>
      <c r="AL192" s="897">
        <v>0</v>
      </c>
      <c r="AM192" s="92"/>
      <c r="AN192" s="92"/>
      <c r="AO192" s="305">
        <f>AP192-SUM(AL192,AM192,AN192)</f>
        <v>0</v>
      </c>
      <c r="AP192" s="989"/>
      <c r="AQ192" s="897">
        <v>-19</v>
      </c>
      <c r="AR192" s="897">
        <v>-71</v>
      </c>
      <c r="AS192" s="897">
        <v>-75</v>
      </c>
      <c r="AT192" s="305">
        <f t="shared" si="729"/>
        <v>-76</v>
      </c>
      <c r="AU192" s="988">
        <v>-241</v>
      </c>
      <c r="AV192" s="897">
        <v>-58</v>
      </c>
      <c r="AW192" s="897">
        <v>-59</v>
      </c>
      <c r="AX192" s="897">
        <v>-61</v>
      </c>
      <c r="AY192" s="305">
        <f t="shared" si="730"/>
        <v>-62</v>
      </c>
      <c r="AZ192" s="988">
        <v>-240</v>
      </c>
      <c r="BA192" s="897">
        <v>-57</v>
      </c>
      <c r="BB192" s="897">
        <v>-58</v>
      </c>
      <c r="BC192" s="897">
        <v>-60</v>
      </c>
      <c r="BD192" s="305">
        <f t="shared" si="731"/>
        <v>-60</v>
      </c>
      <c r="BE192" s="990">
        <v>-235</v>
      </c>
      <c r="BF192" s="897">
        <v>-51</v>
      </c>
      <c r="BG192" s="897">
        <v>-51</v>
      </c>
      <c r="BH192" s="898">
        <v>-52</v>
      </c>
      <c r="BI192" s="92"/>
      <c r="BJ192" s="989"/>
      <c r="BK192" s="92"/>
      <c r="BL192" s="92"/>
      <c r="BM192" s="92"/>
      <c r="BN192" s="92"/>
      <c r="BO192" s="989"/>
      <c r="BP192" s="989"/>
      <c r="BQ192" s="989"/>
      <c r="BR192" s="989"/>
      <c r="BS192" s="305"/>
    </row>
    <row r="193" spans="1:71" s="51" customFormat="1" ht="15" collapsed="1">
      <c r="A193" s="87" t="s">
        <v>378</v>
      </c>
      <c r="B193" s="164"/>
      <c r="C193" s="996">
        <f t="shared" si="732" ref="C193">SUM(C185:C192)</f>
        <v>995</v>
      </c>
      <c r="D193" s="996">
        <f t="shared" si="733" ref="D193">SUM(D185:D192)</f>
        <v>495</v>
      </c>
      <c r="E193" s="996">
        <f t="shared" si="734" ref="E193">SUM(E185:E192)</f>
        <v>-882</v>
      </c>
      <c r="F193" s="996">
        <f t="shared" si="735" ref="F193">SUM(F185:F192)</f>
        <v>1200</v>
      </c>
      <c r="G193" s="996">
        <f t="shared" si="736" ref="G193">SUM(G185:G192)</f>
        <v>2218</v>
      </c>
      <c r="H193" s="89">
        <f t="shared" si="737" ref="H193">SUM(H185:H192)</f>
        <v>372</v>
      </c>
      <c r="I193" s="89">
        <f t="shared" si="738" ref="I193">SUM(I185:I192)</f>
        <v>189</v>
      </c>
      <c r="J193" s="89">
        <f t="shared" si="739" ref="J193:K193">SUM(J185:J192)</f>
        <v>474</v>
      </c>
      <c r="K193" s="89">
        <f t="shared" si="739"/>
        <v>737</v>
      </c>
      <c r="L193" s="996">
        <f t="shared" si="740" ref="L193">SUM(L185:L192)</f>
        <v>1772</v>
      </c>
      <c r="M193" s="89">
        <f t="shared" si="741" ref="M193">SUM(M185:M192)</f>
        <v>467</v>
      </c>
      <c r="N193" s="89">
        <f t="shared" si="742" ref="N193">SUM(N185:N192)</f>
        <v>-10</v>
      </c>
      <c r="O193" s="89">
        <f t="shared" si="743" ref="O193:P193">SUM(O185:O192)</f>
        <v>491</v>
      </c>
      <c r="P193" s="89">
        <f t="shared" si="743"/>
        <v>611</v>
      </c>
      <c r="Q193" s="996">
        <f t="shared" si="744" ref="Q193">SUM(Q185:Q192)</f>
        <v>1559</v>
      </c>
      <c r="R193" s="89">
        <f t="shared" si="745" ref="R193">SUM(R185:R192)</f>
        <v>123</v>
      </c>
      <c r="S193" s="89">
        <f t="shared" si="746" ref="S193">SUM(S185:S192)</f>
        <v>-63</v>
      </c>
      <c r="T193" s="89">
        <f t="shared" si="747" ref="T193:U193">SUM(T185:T192)</f>
        <v>359</v>
      </c>
      <c r="U193" s="89">
        <f t="shared" si="747"/>
        <v>801</v>
      </c>
      <c r="V193" s="996">
        <f t="shared" si="748" ref="V193">SUM(V185:V192)</f>
        <v>1220</v>
      </c>
      <c r="W193" s="89">
        <f t="shared" si="749" ref="W193">SUM(W185:W192)</f>
        <v>548</v>
      </c>
      <c r="X193" s="89">
        <f t="shared" si="750" ref="X193">SUM(X185:X192)</f>
        <v>265</v>
      </c>
      <c r="Y193" s="89">
        <f t="shared" si="751" ref="Y193:Z193">SUM(Y185:Y192)</f>
        <v>484</v>
      </c>
      <c r="Z193" s="89">
        <f t="shared" si="751"/>
        <v>715</v>
      </c>
      <c r="AA193" s="996">
        <f t="shared" si="752" ref="AA193">SUM(AA185:AA192)</f>
        <v>2012</v>
      </c>
      <c r="AB193" s="89">
        <f t="shared" si="753" ref="AB193">SUM(AB185:AB192)</f>
        <v>1005</v>
      </c>
      <c r="AC193" s="89">
        <f t="shared" si="754" ref="AC193">SUM(AC185:AC192)</f>
        <v>455</v>
      </c>
      <c r="AD193" s="89">
        <f t="shared" si="755" ref="AD193:AE193">SUM(AD185:AD192)</f>
        <v>507</v>
      </c>
      <c r="AE193" s="89">
        <f t="shared" si="755"/>
        <v>286</v>
      </c>
      <c r="AF193" s="996">
        <f t="shared" si="756" ref="AF193">SUM(AF185:AF192)</f>
        <v>2253</v>
      </c>
      <c r="AG193" s="89">
        <f t="shared" si="757" ref="AG193">SUM(AG185:AG192)</f>
        <v>700</v>
      </c>
      <c r="AH193" s="89">
        <f t="shared" si="758" ref="AH193">SUM(AH185:AH192)</f>
        <v>367</v>
      </c>
      <c r="AI193" s="89">
        <f t="shared" si="759" ref="AI193">SUM(AI185:AI192)</f>
        <v>737</v>
      </c>
      <c r="AJ193" s="89">
        <f t="shared" si="760" ref="AJ193">SUM(AJ185:AJ192)</f>
        <v>1000</v>
      </c>
      <c r="AK193" s="996">
        <f t="shared" si="761" ref="AK193">SUM(AK185:AK192)</f>
        <v>2804</v>
      </c>
      <c r="AL193" s="89">
        <f t="shared" si="762" ref="AL193">SUM(AL185:AL192)</f>
        <v>1348</v>
      </c>
      <c r="AM193" s="89">
        <f>SUM(AM185:AM192)</f>
        <v>902</v>
      </c>
      <c r="AN193" s="89">
        <f>SUM(AN185:AN192)</f>
        <v>752</v>
      </c>
      <c r="AO193" s="89">
        <f t="shared" si="763" ref="AO193:AP193">SUM(AO185:AO192)</f>
        <v>1423</v>
      </c>
      <c r="AP193" s="996">
        <f t="shared" si="763"/>
        <v>4422</v>
      </c>
      <c r="AQ193" s="89">
        <f t="shared" si="764" ref="AQ193:AV193">SUM(AQ185:AQ192)</f>
        <v>1657</v>
      </c>
      <c r="AR193" s="89">
        <f t="shared" si="764"/>
        <v>429</v>
      </c>
      <c r="AS193" s="89">
        <f t="shared" si="764"/>
        <v>-534</v>
      </c>
      <c r="AT193" s="89">
        <f t="shared" si="764"/>
        <v>113</v>
      </c>
      <c r="AU193" s="996">
        <f t="shared" si="764"/>
        <v>1665</v>
      </c>
      <c r="AV193" s="89">
        <f t="shared" si="764"/>
        <v>280</v>
      </c>
      <c r="AW193" s="89">
        <f t="shared" si="765" ref="AW193:BB193">SUM(AW185:AW192)</f>
        <v>-864</v>
      </c>
      <c r="AX193" s="89">
        <f t="shared" si="765"/>
        <v>-1292</v>
      </c>
      <c r="AY193" s="89">
        <f t="shared" si="765"/>
        <v>-1035</v>
      </c>
      <c r="AZ193" s="996">
        <f t="shared" si="765"/>
        <v>-2911</v>
      </c>
      <c r="BA193" s="89">
        <f t="shared" si="765"/>
        <v>-1001</v>
      </c>
      <c r="BB193" s="89">
        <f t="shared" si="765"/>
        <v>-2094</v>
      </c>
      <c r="BC193" s="89">
        <f t="shared" si="766" ref="BC193:BH193">SUM(BC185:BC192)</f>
        <v>-414</v>
      </c>
      <c r="BD193" s="89">
        <f t="shared" si="766"/>
        <v>1325</v>
      </c>
      <c r="BE193" s="999">
        <f t="shared" si="766"/>
        <v>-2184</v>
      </c>
      <c r="BF193" s="89">
        <f t="shared" si="766"/>
        <v>898</v>
      </c>
      <c r="BG193" s="89">
        <f t="shared" si="766"/>
        <v>-145</v>
      </c>
      <c r="BH193" s="742">
        <f t="shared" si="766"/>
        <v>495</v>
      </c>
      <c r="BI193" s="90">
        <f t="shared" si="767" ref="BI193:BR193">BI124</f>
        <v>1057.9754950000001</v>
      </c>
      <c r="BJ193" s="997">
        <f t="shared" si="767"/>
        <v>2305.9754950000001</v>
      </c>
      <c r="BK193" s="90">
        <f t="shared" si="767"/>
        <v>1129.6819880000005</v>
      </c>
      <c r="BL193" s="90">
        <f t="shared" si="767"/>
        <v>352.69858099999976</v>
      </c>
      <c r="BM193" s="90">
        <f t="shared" si="767"/>
        <v>763.44028100000082</v>
      </c>
      <c r="BN193" s="90">
        <f t="shared" si="767"/>
        <v>1362.2094299499986</v>
      </c>
      <c r="BO193" s="997">
        <f t="shared" si="767"/>
        <v>3608.0302799499996</v>
      </c>
      <c r="BP193" s="997">
        <f t="shared" si="767"/>
        <v>4453.7276539535051</v>
      </c>
      <c r="BQ193" s="997">
        <f t="shared" si="767"/>
        <v>4564.0503883480596</v>
      </c>
      <c r="BR193" s="997">
        <f t="shared" si="767"/>
        <v>4697.2038999984961</v>
      </c>
      <c r="BS193" s="57"/>
    </row>
    <row r="194" spans="1:71" s="300" customFormat="1" ht="15">
      <c r="A194" s="304" t="s">
        <v>379</v>
      </c>
      <c r="B194" s="233"/>
      <c r="C194" s="988">
        <v>1328</v>
      </c>
      <c r="D194" s="988">
        <v>1189</v>
      </c>
      <c r="E194" s="988">
        <v>1201</v>
      </c>
      <c r="F194" s="988">
        <v>1326</v>
      </c>
      <c r="G194" s="988">
        <v>1375</v>
      </c>
      <c r="H194" s="897">
        <v>312</v>
      </c>
      <c r="I194" s="897">
        <v>351</v>
      </c>
      <c r="J194" s="897">
        <v>344</v>
      </c>
      <c r="K194" s="305">
        <f>L194-SUM(H194,I194,J194)</f>
        <v>294</v>
      </c>
      <c r="L194" s="988">
        <v>1301</v>
      </c>
      <c r="M194" s="897">
        <v>358</v>
      </c>
      <c r="N194" s="897">
        <v>292</v>
      </c>
      <c r="O194" s="897">
        <v>307</v>
      </c>
      <c r="P194" s="305">
        <f>Q194-SUM(M194,N194,O194)</f>
        <v>280</v>
      </c>
      <c r="Q194" s="988">
        <v>1237</v>
      </c>
      <c r="R194" s="897">
        <v>299</v>
      </c>
      <c r="S194" s="897">
        <v>313</v>
      </c>
      <c r="T194" s="897">
        <v>307</v>
      </c>
      <c r="U194" s="305">
        <f>V194-SUM(R194,S194,T194)</f>
        <v>334</v>
      </c>
      <c r="V194" s="988">
        <v>1253</v>
      </c>
      <c r="W194" s="897">
        <v>308</v>
      </c>
      <c r="X194" s="897">
        <v>387</v>
      </c>
      <c r="Y194" s="897">
        <v>368</v>
      </c>
      <c r="Z194" s="305">
        <f>AA194-SUM(W194,X194,Y194)</f>
        <v>415</v>
      </c>
      <c r="AA194" s="988">
        <v>1478</v>
      </c>
      <c r="AB194" s="897">
        <v>337</v>
      </c>
      <c r="AC194" s="897">
        <v>353</v>
      </c>
      <c r="AD194" s="897">
        <v>410</v>
      </c>
      <c r="AE194" s="305">
        <f>AF194-SUM(AB194,AC194,AD194)</f>
        <v>364</v>
      </c>
      <c r="AF194" s="988">
        <v>1464</v>
      </c>
      <c r="AG194" s="897">
        <v>291</v>
      </c>
      <c r="AH194" s="897">
        <v>471</v>
      </c>
      <c r="AI194" s="897">
        <v>448</v>
      </c>
      <c r="AJ194" s="305">
        <f>AK194-SUM(AG194,AH194,AI194)</f>
        <v>323</v>
      </c>
      <c r="AK194" s="988">
        <v>1533</v>
      </c>
      <c r="AL194" s="897">
        <v>202</v>
      </c>
      <c r="AM194" s="897">
        <v>178</v>
      </c>
      <c r="AN194" s="897">
        <v>422</v>
      </c>
      <c r="AO194" s="305">
        <f>AP194-SUM(AL194,AM194,AN194)</f>
        <v>619</v>
      </c>
      <c r="AP194" s="988">
        <v>1421</v>
      </c>
      <c r="AQ194" s="897">
        <v>673</v>
      </c>
      <c r="AR194" s="897">
        <v>931</v>
      </c>
      <c r="AS194" s="897">
        <v>710</v>
      </c>
      <c r="AT194" s="305">
        <f>AU194-SUM(AQ194,AR194,AS194)</f>
        <v>804</v>
      </c>
      <c r="AU194" s="988">
        <v>3118</v>
      </c>
      <c r="AV194" s="897">
        <v>558</v>
      </c>
      <c r="AW194" s="897">
        <v>506</v>
      </c>
      <c r="AX194" s="897">
        <v>632</v>
      </c>
      <c r="AY194" s="305">
        <f>AZ194-SUM(AV194,AW194,AX194)</f>
        <v>494</v>
      </c>
      <c r="AZ194" s="988">
        <v>2190</v>
      </c>
      <c r="BA194" s="897">
        <v>509</v>
      </c>
      <c r="BB194" s="897">
        <v>544</v>
      </c>
      <c r="BC194" s="897">
        <v>627</v>
      </c>
      <c r="BD194" s="305">
        <f>BE194-SUM(BA194,BB194,BC194)</f>
        <v>538</v>
      </c>
      <c r="BE194" s="988">
        <v>2218</v>
      </c>
      <c r="BF194" s="897">
        <v>702</v>
      </c>
      <c r="BG194" s="897">
        <v>643</v>
      </c>
      <c r="BH194" s="898">
        <v>708</v>
      </c>
      <c r="BI194" s="92">
        <f>BI220*BI223/(BJ$3/BI$3)</f>
        <v>598.98801967213103</v>
      </c>
      <c r="BJ194" s="989">
        <f>SUM(BF194,BG194,BH194,BI194)</f>
        <v>2651.988019672131</v>
      </c>
      <c r="BK194" s="92">
        <f>BK220*BK223/(BO$3/BK$3)</f>
        <v>556.3603060273972</v>
      </c>
      <c r="BL194" s="92">
        <f>BL220*BL223/(BO$3/BL$3)</f>
        <v>578.45575583561651</v>
      </c>
      <c r="BM194" s="92">
        <f>BM220*BM223/(BO$3/BM$3)</f>
        <v>606.9107721643835</v>
      </c>
      <c r="BN194" s="92">
        <f>BN220*BN223/(BO$3/BN$3)</f>
        <v>579.87287099178081</v>
      </c>
      <c r="BO194" s="989">
        <f>SUM(BK194,BL194,BM194,BN194)</f>
        <v>2321.5997050191781</v>
      </c>
      <c r="BP194" s="989">
        <f>BP220*BP223</f>
        <v>2095.5641241599997</v>
      </c>
      <c r="BQ194" s="989">
        <f>BQ220*BQ223</f>
        <v>2116.5197654016001</v>
      </c>
      <c r="BR194" s="989">
        <f>BR220*BR223</f>
        <v>2137.6849630556158</v>
      </c>
      <c r="BS194" s="305"/>
    </row>
    <row r="195" spans="1:71" s="300" customFormat="1" ht="15">
      <c r="A195" s="110" t="s">
        <v>624</v>
      </c>
      <c r="B195" s="113"/>
      <c r="C195" s="995"/>
      <c r="D195" s="995"/>
      <c r="E195" s="995"/>
      <c r="F195" s="995"/>
      <c r="G195" s="995"/>
      <c r="H195" s="115"/>
      <c r="I195" s="115"/>
      <c r="J195" s="115"/>
      <c r="K195" s="115">
        <f>L195-SUM(H195,I195,J195)</f>
        <v>0</v>
      </c>
      <c r="L195" s="995"/>
      <c r="M195" s="115"/>
      <c r="N195" s="115"/>
      <c r="O195" s="115"/>
      <c r="P195" s="115">
        <f>Q195-SUM(M195,N195,O195)</f>
        <v>0</v>
      </c>
      <c r="Q195" s="995"/>
      <c r="R195" s="115"/>
      <c r="S195" s="115"/>
      <c r="T195" s="115"/>
      <c r="U195" s="115">
        <f>V195-SUM(R195,S195,T195)</f>
        <v>0</v>
      </c>
      <c r="V195" s="995"/>
      <c r="W195" s="115"/>
      <c r="X195" s="115"/>
      <c r="Y195" s="115"/>
      <c r="Z195" s="115">
        <f>AA195-SUM(W195,X195,Y195)</f>
        <v>0</v>
      </c>
      <c r="AA195" s="995"/>
      <c r="AB195" s="115"/>
      <c r="AC195" s="115"/>
      <c r="AD195" s="115"/>
      <c r="AE195" s="115">
        <f>AF195-SUM(AB195,AC195,AD195)</f>
        <v>0</v>
      </c>
      <c r="AF195" s="995"/>
      <c r="AG195" s="115"/>
      <c r="AH195" s="115"/>
      <c r="AI195" s="115"/>
      <c r="AJ195" s="115">
        <f>AK195-SUM(AG195,AH195,AI195)</f>
        <v>0</v>
      </c>
      <c r="AK195" s="995"/>
      <c r="AL195" s="115"/>
      <c r="AM195" s="115"/>
      <c r="AN195" s="115"/>
      <c r="AO195" s="115"/>
      <c r="AP195" s="995"/>
      <c r="AQ195" s="900">
        <v>404</v>
      </c>
      <c r="AR195" s="900">
        <v>265</v>
      </c>
      <c r="AS195" s="900">
        <v>94</v>
      </c>
      <c r="AT195" s="115">
        <f>AU195-SUM(AQ195,AR195,AS195)</f>
        <v>258</v>
      </c>
      <c r="AU195" s="990">
        <v>1021</v>
      </c>
      <c r="AV195" s="900">
        <v>-203</v>
      </c>
      <c r="AW195" s="900">
        <v>-662</v>
      </c>
      <c r="AX195" s="900">
        <v>-123</v>
      </c>
      <c r="AY195" s="115">
        <f>AZ195-SUM(AV195,AW195,AX195)</f>
        <v>111</v>
      </c>
      <c r="AZ195" s="990">
        <v>-877</v>
      </c>
      <c r="BA195" s="900">
        <v>12</v>
      </c>
      <c r="BB195" s="900">
        <v>-135</v>
      </c>
      <c r="BC195" s="900">
        <v>-62</v>
      </c>
      <c r="BD195" s="115">
        <f>BE195-SUM(BA195,BB195,BC195)</f>
        <v>-107</v>
      </c>
      <c r="BE195" s="990">
        <v>-292</v>
      </c>
      <c r="BF195" s="900">
        <v>-162</v>
      </c>
      <c r="BG195" s="900">
        <v>-103</v>
      </c>
      <c r="BH195" s="901">
        <v>222</v>
      </c>
      <c r="BI195" s="900">
        <v>50</v>
      </c>
      <c r="BJ195" s="995">
        <f>SUM(BF195,BG195,BH195,BI195)</f>
        <v>7</v>
      </c>
      <c r="BK195" s="900">
        <v>50</v>
      </c>
      <c r="BL195" s="900">
        <v>50</v>
      </c>
      <c r="BM195" s="900">
        <v>50</v>
      </c>
      <c r="BN195" s="900">
        <v>50</v>
      </c>
      <c r="BO195" s="995">
        <f>SUM(BK195,BL195,BM195,BN195)</f>
        <v>200</v>
      </c>
      <c r="BP195" s="990">
        <v>200</v>
      </c>
      <c r="BQ195" s="990">
        <v>200</v>
      </c>
      <c r="BR195" s="990">
        <v>200</v>
      </c>
      <c r="BS195" s="305"/>
    </row>
    <row r="196" spans="1:71" s="51" customFormat="1" ht="15">
      <c r="A196" s="109" t="s">
        <v>599</v>
      </c>
      <c r="B196" s="391"/>
      <c r="C196" s="999">
        <f t="shared" si="768" ref="C196:AK196">SUM(C193:C195)</f>
        <v>2323</v>
      </c>
      <c r="D196" s="999">
        <f t="shared" si="768"/>
        <v>1684</v>
      </c>
      <c r="E196" s="999">
        <f t="shared" si="768"/>
        <v>319</v>
      </c>
      <c r="F196" s="999">
        <f t="shared" si="768"/>
        <v>2526</v>
      </c>
      <c r="G196" s="999">
        <f t="shared" si="768"/>
        <v>3593</v>
      </c>
      <c r="H196" s="57">
        <f t="shared" si="768"/>
        <v>684</v>
      </c>
      <c r="I196" s="57">
        <f t="shared" si="768"/>
        <v>540</v>
      </c>
      <c r="J196" s="57">
        <f t="shared" si="768"/>
        <v>818</v>
      </c>
      <c r="K196" s="57">
        <f t="shared" si="769" ref="K196">SUM(K193:K195)</f>
        <v>1031</v>
      </c>
      <c r="L196" s="999">
        <f t="shared" si="768"/>
        <v>3073</v>
      </c>
      <c r="M196" s="57">
        <f t="shared" si="768"/>
        <v>825</v>
      </c>
      <c r="N196" s="57">
        <f t="shared" si="768"/>
        <v>282</v>
      </c>
      <c r="O196" s="57">
        <f t="shared" si="768"/>
        <v>798</v>
      </c>
      <c r="P196" s="57">
        <f t="shared" si="770" ref="P196">SUM(P193:P195)</f>
        <v>891</v>
      </c>
      <c r="Q196" s="999">
        <f t="shared" si="768"/>
        <v>2796</v>
      </c>
      <c r="R196" s="57">
        <f t="shared" si="768"/>
        <v>422</v>
      </c>
      <c r="S196" s="57">
        <f t="shared" si="768"/>
        <v>250</v>
      </c>
      <c r="T196" s="57">
        <f t="shared" si="768"/>
        <v>666</v>
      </c>
      <c r="U196" s="57">
        <f t="shared" si="771" ref="U196">SUM(U193:U195)</f>
        <v>1135</v>
      </c>
      <c r="V196" s="999">
        <f t="shared" si="768"/>
        <v>2473</v>
      </c>
      <c r="W196" s="57">
        <f t="shared" si="768"/>
        <v>856</v>
      </c>
      <c r="X196" s="57">
        <f t="shared" si="768"/>
        <v>652</v>
      </c>
      <c r="Y196" s="57">
        <f t="shared" si="768"/>
        <v>852</v>
      </c>
      <c r="Z196" s="57">
        <f t="shared" si="772" ref="Z196">SUM(Z193:Z195)</f>
        <v>1130</v>
      </c>
      <c r="AA196" s="999">
        <f t="shared" si="768"/>
        <v>3490</v>
      </c>
      <c r="AB196" s="57">
        <f t="shared" si="768"/>
        <v>1342</v>
      </c>
      <c r="AC196" s="57">
        <f t="shared" si="768"/>
        <v>808</v>
      </c>
      <c r="AD196" s="57">
        <f t="shared" si="768"/>
        <v>917</v>
      </c>
      <c r="AE196" s="57">
        <f t="shared" si="773" ref="AE196">SUM(AE193:AE195)</f>
        <v>650</v>
      </c>
      <c r="AF196" s="999">
        <f t="shared" si="768"/>
        <v>3717</v>
      </c>
      <c r="AG196" s="57">
        <f t="shared" si="768"/>
        <v>991</v>
      </c>
      <c r="AH196" s="57">
        <f t="shared" si="768"/>
        <v>838</v>
      </c>
      <c r="AI196" s="57">
        <f t="shared" si="768"/>
        <v>1185</v>
      </c>
      <c r="AJ196" s="57">
        <f t="shared" si="768"/>
        <v>1323</v>
      </c>
      <c r="AK196" s="999">
        <f t="shared" si="768"/>
        <v>4337</v>
      </c>
      <c r="AL196" s="57">
        <f>SUM(AL193:AL195)</f>
        <v>1550</v>
      </c>
      <c r="AM196" s="57">
        <f>SUM(AM193:AM195)</f>
        <v>1080</v>
      </c>
      <c r="AN196" s="57">
        <f>SUM(AN193:AN195)</f>
        <v>1174</v>
      </c>
      <c r="AO196" s="57">
        <f t="shared" si="774" ref="AO196:AP196">SUM(AO193:AO195)</f>
        <v>2042</v>
      </c>
      <c r="AP196" s="999">
        <f t="shared" si="774"/>
        <v>5843</v>
      </c>
      <c r="AQ196" s="57">
        <f t="shared" si="775" ref="AQ196:AV196">SUM(AQ193:AQ195)</f>
        <v>2734</v>
      </c>
      <c r="AR196" s="57">
        <f t="shared" si="775"/>
        <v>1625</v>
      </c>
      <c r="AS196" s="57">
        <f t="shared" si="775"/>
        <v>270</v>
      </c>
      <c r="AT196" s="57">
        <f t="shared" si="775"/>
        <v>1175</v>
      </c>
      <c r="AU196" s="999">
        <f t="shared" si="775"/>
        <v>5804</v>
      </c>
      <c r="AV196" s="57">
        <f t="shared" si="775"/>
        <v>635</v>
      </c>
      <c r="AW196" s="57">
        <f t="shared" si="776" ref="AW196:BJ196">SUM(AW193:AW195)</f>
        <v>-1020</v>
      </c>
      <c r="AX196" s="57">
        <f t="shared" si="776"/>
        <v>-783</v>
      </c>
      <c r="AY196" s="128">
        <f t="shared" si="776"/>
        <v>-430</v>
      </c>
      <c r="AZ196" s="1000">
        <f t="shared" si="776"/>
        <v>-1598</v>
      </c>
      <c r="BA196" s="57">
        <f t="shared" si="777" ref="BA196:BI196">SUM(BA193:BA195)</f>
        <v>-480</v>
      </c>
      <c r="BB196" s="57">
        <f t="shared" si="777"/>
        <v>-1685</v>
      </c>
      <c r="BC196" s="57">
        <f t="shared" si="777"/>
        <v>151</v>
      </c>
      <c r="BD196" s="128">
        <f t="shared" si="777"/>
        <v>1756</v>
      </c>
      <c r="BE196" s="1000">
        <f t="shared" si="777"/>
        <v>-258</v>
      </c>
      <c r="BF196" s="57">
        <f>SUM(BF193:BF195)</f>
        <v>1438</v>
      </c>
      <c r="BG196" s="57">
        <f>SUM(BG193:BG195)</f>
        <v>395</v>
      </c>
      <c r="BH196" s="745">
        <f>SUM(BH193:BH195)</f>
        <v>1425</v>
      </c>
      <c r="BI196" s="128">
        <f t="shared" si="777"/>
        <v>1706.9635146721312</v>
      </c>
      <c r="BJ196" s="1000">
        <f t="shared" si="776"/>
        <v>4964.9635146721312</v>
      </c>
      <c r="BK196" s="128">
        <f t="shared" si="778" ref="BK196:BR196">SUM(BK193:BK195)</f>
        <v>1736.0422940273977</v>
      </c>
      <c r="BL196" s="128">
        <f t="shared" si="778"/>
        <v>981.15433683561628</v>
      </c>
      <c r="BM196" s="128">
        <f t="shared" si="778"/>
        <v>1420.3510531643842</v>
      </c>
      <c r="BN196" s="128">
        <f t="shared" si="778"/>
        <v>1992.0823009417795</v>
      </c>
      <c r="BO196" s="1000">
        <f t="shared" si="778"/>
        <v>6129.6299849691777</v>
      </c>
      <c r="BP196" s="1000">
        <f t="shared" si="778"/>
        <v>6749.2917781135047</v>
      </c>
      <c r="BQ196" s="1000">
        <f t="shared" si="778"/>
        <v>6880.5701537496598</v>
      </c>
      <c r="BR196" s="1000">
        <f t="shared" si="778"/>
        <v>7034.8888630541114</v>
      </c>
      <c r="BS196" s="57"/>
    </row>
    <row r="197" spans="1:71" s="300" customFormat="1" ht="15" hidden="1" outlineLevel="1">
      <c r="A197" s="304" t="s">
        <v>380</v>
      </c>
      <c r="B197" s="233"/>
      <c r="C197" s="988">
        <v>-555</v>
      </c>
      <c r="D197" s="988">
        <v>-423</v>
      </c>
      <c r="E197" s="988">
        <v>18</v>
      </c>
      <c r="F197" s="988">
        <v>-819</v>
      </c>
      <c r="G197" s="988">
        <v>-1204</v>
      </c>
      <c r="H197" s="897">
        <v>-230</v>
      </c>
      <c r="I197" s="897">
        <v>-190</v>
      </c>
      <c r="J197" s="897">
        <v>-281</v>
      </c>
      <c r="K197" s="305">
        <f t="shared" si="779" ref="K197:K205">L197-SUM(H197,I197,J197)</f>
        <v>-359</v>
      </c>
      <c r="L197" s="988">
        <v>-1060</v>
      </c>
      <c r="M197" s="897">
        <v>-305</v>
      </c>
      <c r="N197" s="897">
        <v>-92</v>
      </c>
      <c r="O197" s="897">
        <v>-256</v>
      </c>
      <c r="P197" s="305">
        <f t="shared" si="780" ref="P197:P205">Q197-SUM(M197,N197,O197)</f>
        <v>-299</v>
      </c>
      <c r="Q197" s="988">
        <v>-952</v>
      </c>
      <c r="R197" s="897">
        <v>-139</v>
      </c>
      <c r="S197" s="897">
        <v>-70</v>
      </c>
      <c r="T197" s="897">
        <v>-218</v>
      </c>
      <c r="U197" s="305">
        <f t="shared" si="781" ref="U197:U205">V197-SUM(R197,S197,T197)</f>
        <v>-385</v>
      </c>
      <c r="V197" s="988">
        <v>-812</v>
      </c>
      <c r="W197" s="897">
        <v>-268</v>
      </c>
      <c r="X197" s="897">
        <v>-207</v>
      </c>
      <c r="Y197" s="897">
        <v>-271</v>
      </c>
      <c r="Z197" s="305">
        <f t="shared" si="782" ref="Z197:Z205">AA197-SUM(W197,X197,Y197)</f>
        <v>-373</v>
      </c>
      <c r="AA197" s="988">
        <v>-1119</v>
      </c>
      <c r="AB197" s="897">
        <v>-277</v>
      </c>
      <c r="AC197" s="897">
        <v>-166</v>
      </c>
      <c r="AD197" s="897">
        <v>-185</v>
      </c>
      <c r="AE197" s="305">
        <f t="shared" si="783" ref="AE197:AE205">AF197-SUM(AB197,AC197,AD197)</f>
        <v>-119</v>
      </c>
      <c r="AF197" s="988">
        <v>-747</v>
      </c>
      <c r="AG197" s="897">
        <v>-202</v>
      </c>
      <c r="AH197" s="897">
        <v>-179</v>
      </c>
      <c r="AI197" s="897">
        <v>-236</v>
      </c>
      <c r="AJ197" s="305">
        <f t="shared" si="784" ref="AJ197:AJ205">AK197-SUM(AG197,AH197,AI197)</f>
        <v>-270</v>
      </c>
      <c r="AK197" s="988">
        <v>-887</v>
      </c>
      <c r="AL197" s="897">
        <v>-303</v>
      </c>
      <c r="AM197" s="897">
        <v>-209</v>
      </c>
      <c r="AN197" s="897">
        <v>-240</v>
      </c>
      <c r="AO197" s="305">
        <f t="shared" si="785" ref="AO197:AO205">AP197-SUM(AL197,AM197,AN197)</f>
        <v>-414</v>
      </c>
      <c r="AP197" s="988">
        <v>-1166</v>
      </c>
      <c r="AQ197" s="92"/>
      <c r="AR197" s="92"/>
      <c r="AS197" s="92"/>
      <c r="AT197" s="92"/>
      <c r="AU197" s="989"/>
      <c r="AV197" s="92"/>
      <c r="AW197" s="92"/>
      <c r="AX197" s="92"/>
      <c r="AY197" s="92"/>
      <c r="AZ197" s="989"/>
      <c r="BA197" s="92"/>
      <c r="BB197" s="92"/>
      <c r="BC197" s="92"/>
      <c r="BD197" s="92"/>
      <c r="BE197" s="989"/>
      <c r="BF197" s="92"/>
      <c r="BG197" s="92"/>
      <c r="BH197" s="464"/>
      <c r="BI197" s="92"/>
      <c r="BJ197" s="989"/>
      <c r="BK197" s="92"/>
      <c r="BL197" s="92"/>
      <c r="BM197" s="92"/>
      <c r="BN197" s="92"/>
      <c r="BO197" s="989"/>
      <c r="BP197" s="989"/>
      <c r="BQ197" s="989"/>
      <c r="BR197" s="989"/>
      <c r="BS197" s="305"/>
    </row>
    <row r="198" spans="1:71" s="300" customFormat="1" ht="15" hidden="1" outlineLevel="1">
      <c r="A198" s="304" t="s">
        <v>381</v>
      </c>
      <c r="B198" s="233"/>
      <c r="C198" s="988">
        <v>-222</v>
      </c>
      <c r="D198" s="988">
        <v>-207</v>
      </c>
      <c r="E198" s="988">
        <v>54</v>
      </c>
      <c r="F198" s="988">
        <v>221</v>
      </c>
      <c r="G198" s="988">
        <v>339</v>
      </c>
      <c r="H198" s="897">
        <v>34</v>
      </c>
      <c r="I198" s="897">
        <v>161</v>
      </c>
      <c r="J198" s="897">
        <v>173</v>
      </c>
      <c r="K198" s="305">
        <f t="shared" si="779"/>
        <v>-11</v>
      </c>
      <c r="L198" s="988">
        <v>357</v>
      </c>
      <c r="M198" s="897">
        <v>18</v>
      </c>
      <c r="N198" s="897">
        <v>31</v>
      </c>
      <c r="O198" s="897">
        <v>-104</v>
      </c>
      <c r="P198" s="305">
        <f t="shared" si="780"/>
        <v>-99</v>
      </c>
      <c r="Q198" s="988">
        <v>-154</v>
      </c>
      <c r="R198" s="897">
        <v>-64</v>
      </c>
      <c r="S198" s="897">
        <v>18</v>
      </c>
      <c r="T198" s="897">
        <v>36</v>
      </c>
      <c r="U198" s="305">
        <f t="shared" si="781"/>
        <v>10</v>
      </c>
      <c r="V198" s="988">
        <v>0</v>
      </c>
      <c r="W198" s="897">
        <v>89</v>
      </c>
      <c r="X198" s="897">
        <v>56</v>
      </c>
      <c r="Y198" s="897">
        <v>54</v>
      </c>
      <c r="Z198" s="305">
        <f t="shared" si="782"/>
        <v>73</v>
      </c>
      <c r="AA198" s="988">
        <v>272</v>
      </c>
      <c r="AB198" s="897">
        <v>-75</v>
      </c>
      <c r="AC198" s="897">
        <v>-12</v>
      </c>
      <c r="AD198" s="897">
        <v>103</v>
      </c>
      <c r="AE198" s="305">
        <f t="shared" si="783"/>
        <v>-516</v>
      </c>
      <c r="AF198" s="988">
        <v>-500</v>
      </c>
      <c r="AG198" s="897">
        <v>393</v>
      </c>
      <c r="AH198" s="897">
        <v>204</v>
      </c>
      <c r="AI198" s="897">
        <v>127</v>
      </c>
      <c r="AJ198" s="305">
        <f t="shared" si="784"/>
        <v>437</v>
      </c>
      <c r="AK198" s="988">
        <v>1161</v>
      </c>
      <c r="AL198" s="897">
        <v>-82</v>
      </c>
      <c r="AM198" s="897">
        <v>299</v>
      </c>
      <c r="AN198" s="897">
        <v>230</v>
      </c>
      <c r="AO198" s="305">
        <f t="shared" si="785"/>
        <v>327</v>
      </c>
      <c r="AP198" s="988">
        <v>774</v>
      </c>
      <c r="AQ198" s="92"/>
      <c r="AR198" s="92"/>
      <c r="AS198" s="92"/>
      <c r="AT198" s="92"/>
      <c r="AU198" s="989"/>
      <c r="AV198" s="92"/>
      <c r="AW198" s="92"/>
      <c r="AX198" s="92"/>
      <c r="AY198" s="92"/>
      <c r="AZ198" s="989"/>
      <c r="BA198" s="92"/>
      <c r="BB198" s="92"/>
      <c r="BC198" s="92"/>
      <c r="BD198" s="92"/>
      <c r="BE198" s="989"/>
      <c r="BF198" s="92"/>
      <c r="BG198" s="92"/>
      <c r="BH198" s="464"/>
      <c r="BI198" s="92"/>
      <c r="BJ198" s="989"/>
      <c r="BK198" s="92"/>
      <c r="BL198" s="92"/>
      <c r="BM198" s="92"/>
      <c r="BN198" s="92"/>
      <c r="BO198" s="989"/>
      <c r="BP198" s="989"/>
      <c r="BQ198" s="989"/>
      <c r="BR198" s="989"/>
      <c r="BS198" s="305"/>
    </row>
    <row r="199" spans="1:71" s="300" customFormat="1" ht="15" hidden="1" outlineLevel="1">
      <c r="A199" s="304" t="s">
        <v>417</v>
      </c>
      <c r="B199" s="233"/>
      <c r="C199" s="988">
        <v>0</v>
      </c>
      <c r="D199" s="988">
        <v>3</v>
      </c>
      <c r="E199" s="989"/>
      <c r="F199" s="989"/>
      <c r="G199" s="988">
        <v>-1</v>
      </c>
      <c r="H199" s="897">
        <v>0</v>
      </c>
      <c r="I199" s="897">
        <v>38</v>
      </c>
      <c r="J199" s="897">
        <v>-1</v>
      </c>
      <c r="K199" s="305">
        <f t="shared" si="779"/>
        <v>0</v>
      </c>
      <c r="L199" s="988">
        <v>37</v>
      </c>
      <c r="M199" s="897">
        <v>0</v>
      </c>
      <c r="N199" s="897">
        <v>1</v>
      </c>
      <c r="O199" s="897">
        <v>-1</v>
      </c>
      <c r="P199" s="305">
        <f t="shared" si="780"/>
        <v>0</v>
      </c>
      <c r="Q199" s="988">
        <v>0</v>
      </c>
      <c r="R199" s="897">
        <v>0</v>
      </c>
      <c r="S199" s="897">
        <v>0</v>
      </c>
      <c r="T199" s="897">
        <v>0</v>
      </c>
      <c r="U199" s="305">
        <f t="shared" si="781"/>
        <v>0</v>
      </c>
      <c r="V199" s="988">
        <v>0</v>
      </c>
      <c r="W199" s="897">
        <v>0</v>
      </c>
      <c r="X199" s="897">
        <v>6</v>
      </c>
      <c r="Y199" s="897">
        <v>1</v>
      </c>
      <c r="Z199" s="305">
        <f t="shared" si="782"/>
        <v>2</v>
      </c>
      <c r="AA199" s="988">
        <v>9</v>
      </c>
      <c r="AB199" s="92"/>
      <c r="AC199" s="92"/>
      <c r="AD199" s="92"/>
      <c r="AE199" s="305">
        <f t="shared" si="783"/>
        <v>0</v>
      </c>
      <c r="AF199" s="989"/>
      <c r="AG199" s="92"/>
      <c r="AH199" s="92"/>
      <c r="AI199" s="92"/>
      <c r="AJ199" s="305">
        <f t="shared" si="784"/>
        <v>0</v>
      </c>
      <c r="AK199" s="989"/>
      <c r="AL199" s="92"/>
      <c r="AM199" s="92"/>
      <c r="AN199" s="92"/>
      <c r="AO199" s="305">
        <f t="shared" si="785"/>
        <v>0</v>
      </c>
      <c r="AP199" s="989"/>
      <c r="AQ199" s="92"/>
      <c r="AR199" s="92"/>
      <c r="AS199" s="92"/>
      <c r="AT199" s="92"/>
      <c r="AU199" s="989"/>
      <c r="AV199" s="92"/>
      <c r="AW199" s="92"/>
      <c r="AX199" s="92"/>
      <c r="AY199" s="92"/>
      <c r="AZ199" s="989"/>
      <c r="BA199" s="92"/>
      <c r="BB199" s="92"/>
      <c r="BC199" s="92"/>
      <c r="BD199" s="92"/>
      <c r="BE199" s="989"/>
      <c r="BF199" s="92"/>
      <c r="BG199" s="92"/>
      <c r="BH199" s="464"/>
      <c r="BI199" s="92"/>
      <c r="BJ199" s="989"/>
      <c r="BK199" s="92"/>
      <c r="BL199" s="92"/>
      <c r="BM199" s="92"/>
      <c r="BN199" s="92"/>
      <c r="BO199" s="989"/>
      <c r="BP199" s="989"/>
      <c r="BQ199" s="989"/>
      <c r="BR199" s="989"/>
      <c r="BS199" s="305"/>
    </row>
    <row r="200" spans="1:71" s="300" customFormat="1" ht="15" hidden="1" outlineLevel="1">
      <c r="A200" s="304" t="s">
        <v>418</v>
      </c>
      <c r="B200" s="233"/>
      <c r="C200" s="989"/>
      <c r="D200" s="989"/>
      <c r="E200" s="989"/>
      <c r="F200" s="989"/>
      <c r="G200" s="989"/>
      <c r="H200" s="897">
        <v>0</v>
      </c>
      <c r="I200" s="897">
        <v>0</v>
      </c>
      <c r="J200" s="897">
        <v>0</v>
      </c>
      <c r="K200" s="305">
        <f t="shared" si="779"/>
        <v>0</v>
      </c>
      <c r="L200" s="988">
        <v>0</v>
      </c>
      <c r="M200" s="92"/>
      <c r="N200" s="92"/>
      <c r="O200" s="92"/>
      <c r="P200" s="305">
        <f t="shared" si="780"/>
        <v>0</v>
      </c>
      <c r="Q200" s="989"/>
      <c r="R200" s="92"/>
      <c r="S200" s="92"/>
      <c r="T200" s="92"/>
      <c r="U200" s="305">
        <f t="shared" si="781"/>
        <v>0</v>
      </c>
      <c r="V200" s="989"/>
      <c r="W200" s="92"/>
      <c r="X200" s="92"/>
      <c r="Y200" s="92"/>
      <c r="Z200" s="305">
        <f t="shared" si="782"/>
        <v>0</v>
      </c>
      <c r="AA200" s="989"/>
      <c r="AB200" s="92"/>
      <c r="AC200" s="92"/>
      <c r="AD200" s="92"/>
      <c r="AE200" s="305">
        <f t="shared" si="783"/>
        <v>0</v>
      </c>
      <c r="AF200" s="989"/>
      <c r="AG200" s="92"/>
      <c r="AH200" s="92"/>
      <c r="AI200" s="92"/>
      <c r="AJ200" s="305">
        <f t="shared" si="784"/>
        <v>0</v>
      </c>
      <c r="AK200" s="989"/>
      <c r="AL200" s="92"/>
      <c r="AM200" s="92"/>
      <c r="AN200" s="92"/>
      <c r="AO200" s="305">
        <f t="shared" si="785"/>
        <v>0</v>
      </c>
      <c r="AP200" s="989"/>
      <c r="AQ200" s="92"/>
      <c r="AR200" s="92"/>
      <c r="AS200" s="92"/>
      <c r="AT200" s="92"/>
      <c r="AU200" s="989"/>
      <c r="AV200" s="92"/>
      <c r="AW200" s="92"/>
      <c r="AX200" s="92"/>
      <c r="AY200" s="92"/>
      <c r="AZ200" s="989"/>
      <c r="BA200" s="92"/>
      <c r="BB200" s="92"/>
      <c r="BC200" s="92"/>
      <c r="BD200" s="92"/>
      <c r="BE200" s="989"/>
      <c r="BF200" s="92"/>
      <c r="BG200" s="92"/>
      <c r="BH200" s="464"/>
      <c r="BI200" s="92"/>
      <c r="BJ200" s="989"/>
      <c r="BK200" s="92"/>
      <c r="BL200" s="92"/>
      <c r="BM200" s="92"/>
      <c r="BN200" s="92"/>
      <c r="BO200" s="989"/>
      <c r="BP200" s="989"/>
      <c r="BQ200" s="989"/>
      <c r="BR200" s="989"/>
      <c r="BS200" s="305"/>
    </row>
    <row r="201" spans="1:71" s="300" customFormat="1" ht="15" hidden="1" outlineLevel="1">
      <c r="A201" s="304" t="s">
        <v>419</v>
      </c>
      <c r="B201" s="233"/>
      <c r="C201" s="989"/>
      <c r="D201" s="989"/>
      <c r="E201" s="989"/>
      <c r="F201" s="989"/>
      <c r="G201" s="989"/>
      <c r="H201" s="92"/>
      <c r="I201" s="92"/>
      <c r="J201" s="92"/>
      <c r="K201" s="305">
        <f t="shared" si="779"/>
        <v>0</v>
      </c>
      <c r="L201" s="989"/>
      <c r="M201" s="92"/>
      <c r="N201" s="92"/>
      <c r="O201" s="92"/>
      <c r="P201" s="305">
        <f t="shared" si="780"/>
        <v>0</v>
      </c>
      <c r="Q201" s="989"/>
      <c r="R201" s="897">
        <v>0</v>
      </c>
      <c r="S201" s="897">
        <v>0</v>
      </c>
      <c r="T201" s="897">
        <v>0</v>
      </c>
      <c r="U201" s="305">
        <f t="shared" si="781"/>
        <v>0</v>
      </c>
      <c r="V201" s="988">
        <v>0</v>
      </c>
      <c r="W201" s="897">
        <v>0</v>
      </c>
      <c r="X201" s="897">
        <v>0</v>
      </c>
      <c r="Y201" s="897">
        <v>0</v>
      </c>
      <c r="Z201" s="305">
        <f t="shared" si="782"/>
        <v>-65</v>
      </c>
      <c r="AA201" s="988">
        <v>-65</v>
      </c>
      <c r="AB201" s="897">
        <v>0</v>
      </c>
      <c r="AC201" s="897">
        <v>0</v>
      </c>
      <c r="AD201" s="897">
        <v>-3</v>
      </c>
      <c r="AE201" s="305">
        <f t="shared" si="783"/>
        <v>-2</v>
      </c>
      <c r="AF201" s="988">
        <v>-5</v>
      </c>
      <c r="AG201" s="897">
        <v>0</v>
      </c>
      <c r="AH201" s="897">
        <v>0</v>
      </c>
      <c r="AI201" s="897">
        <v>0</v>
      </c>
      <c r="AJ201" s="305">
        <f t="shared" si="784"/>
        <v>0</v>
      </c>
      <c r="AK201" s="988">
        <v>0</v>
      </c>
      <c r="AL201" s="92"/>
      <c r="AM201" s="92"/>
      <c r="AN201" s="92"/>
      <c r="AO201" s="305">
        <f t="shared" si="785"/>
        <v>0</v>
      </c>
      <c r="AP201" s="989"/>
      <c r="AQ201" s="92"/>
      <c r="AR201" s="92"/>
      <c r="AS201" s="92"/>
      <c r="AT201" s="92"/>
      <c r="AU201" s="989"/>
      <c r="AV201" s="92"/>
      <c r="AW201" s="92"/>
      <c r="AX201" s="92"/>
      <c r="AY201" s="92"/>
      <c r="AZ201" s="989"/>
      <c r="BA201" s="92"/>
      <c r="BB201" s="92"/>
      <c r="BC201" s="92"/>
      <c r="BD201" s="92"/>
      <c r="BE201" s="989"/>
      <c r="BF201" s="92"/>
      <c r="BG201" s="92"/>
      <c r="BH201" s="464"/>
      <c r="BI201" s="92"/>
      <c r="BJ201" s="989"/>
      <c r="BK201" s="92"/>
      <c r="BL201" s="92"/>
      <c r="BM201" s="92"/>
      <c r="BN201" s="92"/>
      <c r="BO201" s="989"/>
      <c r="BP201" s="989"/>
      <c r="BQ201" s="989"/>
      <c r="BR201" s="989"/>
      <c r="BS201" s="305"/>
    </row>
    <row r="202" spans="1:71" s="300" customFormat="1" ht="15" hidden="1" outlineLevel="1">
      <c r="A202" s="304" t="s">
        <v>420</v>
      </c>
      <c r="B202" s="233"/>
      <c r="C202" s="988">
        <v>-10</v>
      </c>
      <c r="D202" s="988">
        <v>-7</v>
      </c>
      <c r="E202" s="988">
        <v>-15</v>
      </c>
      <c r="F202" s="988">
        <v>-6</v>
      </c>
      <c r="G202" s="988">
        <v>-7</v>
      </c>
      <c r="H202" s="897">
        <v>-3</v>
      </c>
      <c r="I202" s="897">
        <v>-3</v>
      </c>
      <c r="J202" s="897">
        <v>-1</v>
      </c>
      <c r="K202" s="305">
        <f t="shared" si="779"/>
        <v>-2</v>
      </c>
      <c r="L202" s="988">
        <v>-9</v>
      </c>
      <c r="M202" s="92"/>
      <c r="N202" s="92"/>
      <c r="O202" s="92"/>
      <c r="P202" s="305">
        <f t="shared" si="780"/>
        <v>0</v>
      </c>
      <c r="Q202" s="989"/>
      <c r="R202" s="92"/>
      <c r="S202" s="92"/>
      <c r="T202" s="92"/>
      <c r="U202" s="305">
        <f t="shared" si="781"/>
        <v>0</v>
      </c>
      <c r="V202" s="989"/>
      <c r="W202" s="92"/>
      <c r="X202" s="92"/>
      <c r="Y202" s="92"/>
      <c r="Z202" s="305">
        <f t="shared" si="782"/>
        <v>0</v>
      </c>
      <c r="AA202" s="989"/>
      <c r="AB202" s="92"/>
      <c r="AC202" s="92"/>
      <c r="AD202" s="92"/>
      <c r="AE202" s="305">
        <f t="shared" si="783"/>
        <v>0</v>
      </c>
      <c r="AF202" s="989"/>
      <c r="AG202" s="92"/>
      <c r="AH202" s="92"/>
      <c r="AI202" s="92"/>
      <c r="AJ202" s="305">
        <f t="shared" si="784"/>
        <v>0</v>
      </c>
      <c r="AK202" s="989"/>
      <c r="AL202" s="92"/>
      <c r="AM202" s="92"/>
      <c r="AN202" s="92"/>
      <c r="AO202" s="305">
        <f t="shared" si="785"/>
        <v>0</v>
      </c>
      <c r="AP202" s="989"/>
      <c r="AQ202" s="92"/>
      <c r="AR202" s="92"/>
      <c r="AS202" s="92"/>
      <c r="AT202" s="92"/>
      <c r="AU202" s="989"/>
      <c r="AV202" s="92"/>
      <c r="AW202" s="92"/>
      <c r="AX202" s="92"/>
      <c r="AY202" s="92"/>
      <c r="AZ202" s="989"/>
      <c r="BA202" s="92"/>
      <c r="BB202" s="92"/>
      <c r="BC202" s="92"/>
      <c r="BD202" s="92"/>
      <c r="BE202" s="989"/>
      <c r="BF202" s="92"/>
      <c r="BG202" s="92"/>
      <c r="BH202" s="464"/>
      <c r="BI202" s="92"/>
      <c r="BJ202" s="989"/>
      <c r="BK202" s="92"/>
      <c r="BL202" s="92"/>
      <c r="BM202" s="92"/>
      <c r="BN202" s="92"/>
      <c r="BO202" s="989"/>
      <c r="BP202" s="989"/>
      <c r="BQ202" s="989"/>
      <c r="BR202" s="989"/>
      <c r="BS202" s="305"/>
    </row>
    <row r="203" spans="1:71" s="300" customFormat="1" ht="15" hidden="1" outlineLevel="1">
      <c r="A203" s="304" t="s">
        <v>421</v>
      </c>
      <c r="B203" s="233"/>
      <c r="C203" s="989"/>
      <c r="D203" s="988">
        <v>0</v>
      </c>
      <c r="E203" s="988">
        <v>49</v>
      </c>
      <c r="F203" s="988">
        <v>124</v>
      </c>
      <c r="G203" s="988">
        <v>85</v>
      </c>
      <c r="H203" s="897">
        <v>17</v>
      </c>
      <c r="I203" s="897">
        <v>17</v>
      </c>
      <c r="J203" s="897">
        <v>17</v>
      </c>
      <c r="K203" s="305">
        <f t="shared" si="779"/>
        <v>17</v>
      </c>
      <c r="L203" s="988">
        <v>68</v>
      </c>
      <c r="M203" s="92"/>
      <c r="N203" s="92"/>
      <c r="O203" s="92"/>
      <c r="P203" s="305">
        <f t="shared" si="780"/>
        <v>0</v>
      </c>
      <c r="Q203" s="989"/>
      <c r="R203" s="92"/>
      <c r="S203" s="92"/>
      <c r="T203" s="92"/>
      <c r="U203" s="305">
        <f t="shared" si="781"/>
        <v>0</v>
      </c>
      <c r="V203" s="989"/>
      <c r="W203" s="92"/>
      <c r="X203" s="92"/>
      <c r="Y203" s="92"/>
      <c r="Z203" s="305">
        <f t="shared" si="782"/>
        <v>0</v>
      </c>
      <c r="AA203" s="989"/>
      <c r="AB203" s="92"/>
      <c r="AC203" s="92"/>
      <c r="AD203" s="92"/>
      <c r="AE203" s="305">
        <f t="shared" si="783"/>
        <v>0</v>
      </c>
      <c r="AF203" s="989"/>
      <c r="AG203" s="92"/>
      <c r="AH203" s="92"/>
      <c r="AI203" s="92"/>
      <c r="AJ203" s="305">
        <f t="shared" si="784"/>
        <v>0</v>
      </c>
      <c r="AK203" s="989"/>
      <c r="AL203" s="92"/>
      <c r="AM203" s="92"/>
      <c r="AN203" s="92"/>
      <c r="AO203" s="305">
        <f t="shared" si="785"/>
        <v>0</v>
      </c>
      <c r="AP203" s="989"/>
      <c r="AQ203" s="92"/>
      <c r="AR203" s="92"/>
      <c r="AS203" s="92"/>
      <c r="AT203" s="92"/>
      <c r="AU203" s="989"/>
      <c r="AV203" s="92"/>
      <c r="AW203" s="92"/>
      <c r="AX203" s="92"/>
      <c r="AY203" s="92"/>
      <c r="AZ203" s="989"/>
      <c r="BA203" s="92"/>
      <c r="BB203" s="92"/>
      <c r="BC203" s="92"/>
      <c r="BD203" s="92"/>
      <c r="BE203" s="989"/>
      <c r="BF203" s="92"/>
      <c r="BG203" s="92"/>
      <c r="BH203" s="464"/>
      <c r="BI203" s="92"/>
      <c r="BJ203" s="989"/>
      <c r="BK203" s="92"/>
      <c r="BL203" s="92"/>
      <c r="BM203" s="92"/>
      <c r="BN203" s="92"/>
      <c r="BO203" s="989"/>
      <c r="BP203" s="989"/>
      <c r="BQ203" s="989"/>
      <c r="BR203" s="989"/>
      <c r="BS203" s="305"/>
    </row>
    <row r="204" spans="1:71" s="300" customFormat="1" ht="15" hidden="1" outlineLevel="1">
      <c r="A204" s="304" t="s">
        <v>422</v>
      </c>
      <c r="B204" s="233"/>
      <c r="C204" s="988">
        <v>7</v>
      </c>
      <c r="D204" s="988">
        <v>4</v>
      </c>
      <c r="E204" s="988">
        <v>10</v>
      </c>
      <c r="F204" s="988">
        <v>3</v>
      </c>
      <c r="G204" s="988">
        <v>4</v>
      </c>
      <c r="H204" s="897">
        <v>2</v>
      </c>
      <c r="I204" s="897">
        <v>2</v>
      </c>
      <c r="J204" s="897">
        <v>0</v>
      </c>
      <c r="K204" s="305">
        <f t="shared" si="779"/>
        <v>2</v>
      </c>
      <c r="L204" s="988">
        <v>6</v>
      </c>
      <c r="M204" s="92"/>
      <c r="N204" s="92"/>
      <c r="O204" s="92"/>
      <c r="P204" s="305">
        <f t="shared" si="780"/>
        <v>0</v>
      </c>
      <c r="Q204" s="989"/>
      <c r="R204" s="92"/>
      <c r="S204" s="92"/>
      <c r="T204" s="92"/>
      <c r="U204" s="305">
        <f t="shared" si="781"/>
        <v>0</v>
      </c>
      <c r="V204" s="989"/>
      <c r="W204" s="92"/>
      <c r="X204" s="92"/>
      <c r="Y204" s="92"/>
      <c r="Z204" s="305">
        <f t="shared" si="782"/>
        <v>0</v>
      </c>
      <c r="AA204" s="989"/>
      <c r="AB204" s="92"/>
      <c r="AC204" s="92"/>
      <c r="AD204" s="92"/>
      <c r="AE204" s="305">
        <f t="shared" si="783"/>
        <v>0</v>
      </c>
      <c r="AF204" s="989"/>
      <c r="AG204" s="92"/>
      <c r="AH204" s="92"/>
      <c r="AI204" s="92"/>
      <c r="AJ204" s="305">
        <f t="shared" si="784"/>
        <v>0</v>
      </c>
      <c r="AK204" s="989"/>
      <c r="AL204" s="92"/>
      <c r="AM204" s="92"/>
      <c r="AN204" s="92"/>
      <c r="AO204" s="305">
        <f t="shared" si="785"/>
        <v>0</v>
      </c>
      <c r="AP204" s="989"/>
      <c r="AQ204" s="92"/>
      <c r="AR204" s="92"/>
      <c r="AS204" s="92"/>
      <c r="AT204" s="92"/>
      <c r="AU204" s="989"/>
      <c r="AV204" s="92"/>
      <c r="AW204" s="92"/>
      <c r="AX204" s="92"/>
      <c r="AY204" s="92"/>
      <c r="AZ204" s="989"/>
      <c r="BA204" s="92"/>
      <c r="BB204" s="92"/>
      <c r="BC204" s="92"/>
      <c r="BD204" s="92"/>
      <c r="BE204" s="989"/>
      <c r="BF204" s="92"/>
      <c r="BG204" s="92"/>
      <c r="BH204" s="464"/>
      <c r="BI204" s="92"/>
      <c r="BJ204" s="989"/>
      <c r="BK204" s="92"/>
      <c r="BL204" s="92"/>
      <c r="BM204" s="92"/>
      <c r="BN204" s="92"/>
      <c r="BO204" s="989"/>
      <c r="BP204" s="989"/>
      <c r="BQ204" s="989"/>
      <c r="BR204" s="989"/>
      <c r="BS204" s="305"/>
    </row>
    <row r="205" spans="1:71" s="300" customFormat="1" ht="15" hidden="1" outlineLevel="1">
      <c r="A205" s="110" t="s">
        <v>423</v>
      </c>
      <c r="B205" s="113"/>
      <c r="C205" s="995"/>
      <c r="D205" s="995"/>
      <c r="E205" s="990">
        <v>-32</v>
      </c>
      <c r="F205" s="990">
        <v>-81</v>
      </c>
      <c r="G205" s="990">
        <v>-55</v>
      </c>
      <c r="H205" s="900">
        <v>-11</v>
      </c>
      <c r="I205" s="900">
        <v>-11</v>
      </c>
      <c r="J205" s="900">
        <v>-11</v>
      </c>
      <c r="K205" s="58">
        <f t="shared" si="779"/>
        <v>-12</v>
      </c>
      <c r="L205" s="990">
        <v>-45</v>
      </c>
      <c r="M205" s="115"/>
      <c r="N205" s="115"/>
      <c r="O205" s="115"/>
      <c r="P205" s="58">
        <f t="shared" si="780"/>
        <v>0</v>
      </c>
      <c r="Q205" s="995"/>
      <c r="R205" s="115"/>
      <c r="S205" s="115"/>
      <c r="T205" s="115"/>
      <c r="U205" s="58">
        <f t="shared" si="781"/>
        <v>0</v>
      </c>
      <c r="V205" s="995"/>
      <c r="W205" s="115"/>
      <c r="X205" s="115"/>
      <c r="Y205" s="115"/>
      <c r="Z205" s="58">
        <f t="shared" si="782"/>
        <v>0</v>
      </c>
      <c r="AA205" s="995"/>
      <c r="AB205" s="115"/>
      <c r="AC205" s="115"/>
      <c r="AD205" s="115"/>
      <c r="AE205" s="58">
        <f t="shared" si="783"/>
        <v>0</v>
      </c>
      <c r="AF205" s="995"/>
      <c r="AG205" s="115"/>
      <c r="AH205" s="115"/>
      <c r="AI205" s="115"/>
      <c r="AJ205" s="58">
        <f t="shared" si="784"/>
        <v>0</v>
      </c>
      <c r="AK205" s="995"/>
      <c r="AL205" s="115"/>
      <c r="AM205" s="115"/>
      <c r="AN205" s="115"/>
      <c r="AO205" s="58">
        <f t="shared" si="785"/>
        <v>0</v>
      </c>
      <c r="AP205" s="995"/>
      <c r="AQ205" s="115"/>
      <c r="AR205" s="115"/>
      <c r="AS205" s="115"/>
      <c r="AT205" s="115"/>
      <c r="AU205" s="995"/>
      <c r="AV205" s="115"/>
      <c r="AW205" s="115"/>
      <c r="AX205" s="115"/>
      <c r="AY205" s="115"/>
      <c r="AZ205" s="995"/>
      <c r="BA205" s="115"/>
      <c r="BB205" s="115"/>
      <c r="BC205" s="115"/>
      <c r="BD205" s="115"/>
      <c r="BE205" s="995"/>
      <c r="BF205" s="115"/>
      <c r="BG205" s="115"/>
      <c r="BH205" s="641"/>
      <c r="BI205" s="115"/>
      <c r="BJ205" s="995"/>
      <c r="BK205" s="115"/>
      <c r="BL205" s="115"/>
      <c r="BM205" s="115"/>
      <c r="BN205" s="115"/>
      <c r="BO205" s="995"/>
      <c r="BP205" s="995"/>
      <c r="BQ205" s="995"/>
      <c r="BR205" s="995"/>
      <c r="BS205" s="305"/>
    </row>
    <row r="206" spans="1:71" s="51" customFormat="1" ht="15" hidden="1" outlineLevel="1">
      <c r="A206" s="109" t="s">
        <v>382</v>
      </c>
      <c r="B206" s="391"/>
      <c r="C206" s="999">
        <f t="shared" si="786" ref="C206:AK206">SUM(C196:C205)</f>
        <v>1543</v>
      </c>
      <c r="D206" s="999">
        <f t="shared" si="786"/>
        <v>1054</v>
      </c>
      <c r="E206" s="999">
        <f t="shared" si="786"/>
        <v>403</v>
      </c>
      <c r="F206" s="999">
        <f t="shared" si="786"/>
        <v>1968</v>
      </c>
      <c r="G206" s="999">
        <f t="shared" si="786"/>
        <v>2754</v>
      </c>
      <c r="H206" s="57">
        <f t="shared" si="786"/>
        <v>493</v>
      </c>
      <c r="I206" s="57">
        <f t="shared" si="786"/>
        <v>554</v>
      </c>
      <c r="J206" s="57">
        <f t="shared" si="786"/>
        <v>714</v>
      </c>
      <c r="K206" s="57">
        <f t="shared" si="787" ref="K206">SUM(K196:K205)</f>
        <v>666</v>
      </c>
      <c r="L206" s="999">
        <f t="shared" si="786"/>
        <v>2427</v>
      </c>
      <c r="M206" s="57">
        <f t="shared" si="786"/>
        <v>538</v>
      </c>
      <c r="N206" s="57">
        <f t="shared" si="786"/>
        <v>222</v>
      </c>
      <c r="O206" s="57">
        <f t="shared" si="786"/>
        <v>437</v>
      </c>
      <c r="P206" s="57">
        <f t="shared" si="788" ref="P206">SUM(P196:P205)</f>
        <v>493</v>
      </c>
      <c r="Q206" s="999">
        <f t="shared" si="786"/>
        <v>1690</v>
      </c>
      <c r="R206" s="57">
        <f t="shared" si="786"/>
        <v>219</v>
      </c>
      <c r="S206" s="57">
        <f t="shared" si="786"/>
        <v>198</v>
      </c>
      <c r="T206" s="57">
        <f t="shared" si="786"/>
        <v>484</v>
      </c>
      <c r="U206" s="57">
        <f t="shared" si="789" ref="U206">SUM(U196:U205)</f>
        <v>760</v>
      </c>
      <c r="V206" s="999">
        <f t="shared" si="786"/>
        <v>1661</v>
      </c>
      <c r="W206" s="57">
        <f t="shared" si="786"/>
        <v>677</v>
      </c>
      <c r="X206" s="57">
        <f t="shared" si="786"/>
        <v>507</v>
      </c>
      <c r="Y206" s="57">
        <f t="shared" si="786"/>
        <v>636</v>
      </c>
      <c r="Z206" s="57">
        <f t="shared" si="790" ref="Z206">SUM(Z196:Z205)</f>
        <v>767</v>
      </c>
      <c r="AA206" s="999">
        <f t="shared" si="786"/>
        <v>2587</v>
      </c>
      <c r="AB206" s="57">
        <f t="shared" si="786"/>
        <v>990</v>
      </c>
      <c r="AC206" s="57">
        <f t="shared" si="786"/>
        <v>630</v>
      </c>
      <c r="AD206" s="57">
        <f t="shared" si="786"/>
        <v>832</v>
      </c>
      <c r="AE206" s="57">
        <f t="shared" si="791" ref="AE206">SUM(AE196:AE205)</f>
        <v>13</v>
      </c>
      <c r="AF206" s="999">
        <f t="shared" si="786"/>
        <v>2465</v>
      </c>
      <c r="AG206" s="57">
        <f t="shared" si="786"/>
        <v>1182</v>
      </c>
      <c r="AH206" s="57">
        <f t="shared" si="786"/>
        <v>863</v>
      </c>
      <c r="AI206" s="57">
        <f t="shared" si="786"/>
        <v>1076</v>
      </c>
      <c r="AJ206" s="57">
        <f t="shared" si="786"/>
        <v>1490</v>
      </c>
      <c r="AK206" s="999">
        <f t="shared" si="786"/>
        <v>4611</v>
      </c>
      <c r="AL206" s="57">
        <f>SUM(AL196:AL205)</f>
        <v>1165</v>
      </c>
      <c r="AM206" s="57">
        <f>SUM(AM196:AM205)</f>
        <v>1170</v>
      </c>
      <c r="AN206" s="57">
        <f>SUM(AN196:AN205)</f>
        <v>1164</v>
      </c>
      <c r="AO206" s="57">
        <f t="shared" si="792" ref="AO206:AP206">SUM(AO196:AO205)</f>
        <v>1955</v>
      </c>
      <c r="AP206" s="999">
        <f t="shared" si="792"/>
        <v>5451</v>
      </c>
      <c r="AQ206" s="128"/>
      <c r="AR206" s="128"/>
      <c r="AS206" s="128"/>
      <c r="AT206" s="128"/>
      <c r="AU206" s="1000"/>
      <c r="AV206" s="128"/>
      <c r="AW206" s="128"/>
      <c r="AX206" s="128"/>
      <c r="AY206" s="128"/>
      <c r="AZ206" s="1000"/>
      <c r="BA206" s="128"/>
      <c r="BB206" s="128"/>
      <c r="BC206" s="128"/>
      <c r="BD206" s="128"/>
      <c r="BE206" s="1000"/>
      <c r="BF206" s="128"/>
      <c r="BG206" s="128"/>
      <c r="BH206" s="465"/>
      <c r="BI206" s="128"/>
      <c r="BJ206" s="1000"/>
      <c r="BK206" s="128"/>
      <c r="BL206" s="128"/>
      <c r="BM206" s="128"/>
      <c r="BN206" s="128"/>
      <c r="BO206" s="1000"/>
      <c r="BP206" s="1000"/>
      <c r="BQ206" s="1000"/>
      <c r="BR206" s="1000"/>
      <c r="BS206" s="57"/>
    </row>
    <row r="207" spans="1:71" s="17" customFormat="1" ht="15" hidden="1" outlineLevel="1">
      <c r="A207" s="492"/>
      <c r="B207" s="493"/>
      <c r="C207" s="1027"/>
      <c r="D207" s="1027"/>
      <c r="E207" s="1027"/>
      <c r="F207" s="1027"/>
      <c r="G207" s="1027"/>
      <c r="H207" s="843"/>
      <c r="I207" s="843"/>
      <c r="J207" s="843"/>
      <c r="K207" s="843"/>
      <c r="L207" s="1027"/>
      <c r="M207" s="843"/>
      <c r="N207" s="843"/>
      <c r="O207" s="843"/>
      <c r="P207" s="843"/>
      <c r="Q207" s="1027"/>
      <c r="R207" s="843"/>
      <c r="S207" s="843"/>
      <c r="T207" s="843"/>
      <c r="U207" s="843"/>
      <c r="V207" s="1027"/>
      <c r="W207" s="843"/>
      <c r="X207" s="843"/>
      <c r="Y207" s="843"/>
      <c r="Z207" s="843"/>
      <c r="AA207" s="1027"/>
      <c r="AB207" s="843"/>
      <c r="AC207" s="843"/>
      <c r="AD207" s="843"/>
      <c r="AE207" s="843"/>
      <c r="AF207" s="1027"/>
      <c r="AG207" s="843"/>
      <c r="AH207" s="843"/>
      <c r="AI207" s="843"/>
      <c r="AJ207" s="843"/>
      <c r="AK207" s="1027"/>
      <c r="AL207" s="843"/>
      <c r="AM207" s="843"/>
      <c r="AN207" s="843"/>
      <c r="AO207" s="843"/>
      <c r="AP207" s="1027"/>
      <c r="AQ207" s="843"/>
      <c r="AR207" s="843"/>
      <c r="AS207" s="843"/>
      <c r="AT207" s="843"/>
      <c r="AU207" s="1027"/>
      <c r="AV207" s="843"/>
      <c r="AW207" s="843"/>
      <c r="AX207" s="843"/>
      <c r="AY207" s="843"/>
      <c r="AZ207" s="1027"/>
      <c r="BA207" s="843"/>
      <c r="BB207" s="843"/>
      <c r="BC207" s="843"/>
      <c r="BD207" s="843"/>
      <c r="BE207" s="1027"/>
      <c r="BF207" s="843"/>
      <c r="BG207" s="843"/>
      <c r="BH207" s="844"/>
      <c r="BI207" s="843"/>
      <c r="BJ207" s="1027"/>
      <c r="BK207" s="843"/>
      <c r="BL207" s="843"/>
      <c r="BM207" s="843"/>
      <c r="BN207" s="843"/>
      <c r="BO207" s="1027"/>
      <c r="BP207" s="1027"/>
      <c r="BQ207" s="1027"/>
      <c r="BR207" s="1027"/>
      <c r="BS207" s="457"/>
    </row>
    <row r="208" spans="1:71" s="24" customFormat="1" ht="15" hidden="1" outlineLevel="1">
      <c r="A208" s="45" t="s">
        <v>383</v>
      </c>
      <c r="B208" s="494"/>
      <c r="C208" s="1012">
        <v>0.71599999999999997</v>
      </c>
      <c r="D208" s="1012">
        <v>0.73</v>
      </c>
      <c r="E208" s="1012">
        <v>0.77700000000000002</v>
      </c>
      <c r="F208" s="1012">
        <v>0.69099999999999995</v>
      </c>
      <c r="G208" s="1012">
        <v>0.64900000000000002</v>
      </c>
      <c r="H208" s="905">
        <v>0.67400000000000004</v>
      </c>
      <c r="I208" s="905">
        <v>0.71399999999999997</v>
      </c>
      <c r="J208" s="905">
        <v>0.67200000000000004</v>
      </c>
      <c r="K208" s="905">
        <v>0.628</v>
      </c>
      <c r="L208" s="1012">
        <v>0.67200000000000004</v>
      </c>
      <c r="M208" s="905">
        <v>0.67200000000000004</v>
      </c>
      <c r="N208" s="905">
        <v>0.74</v>
      </c>
      <c r="O208" s="905">
        <v>0.68700000000000006</v>
      </c>
      <c r="P208" s="905">
        <v>0.67600000000000005</v>
      </c>
      <c r="Q208" s="1012">
        <v>0.69399999999999995</v>
      </c>
      <c r="R208" s="905">
        <v>0.74199999999999999</v>
      </c>
      <c r="S208" s="905">
        <v>0.76100000000000001</v>
      </c>
      <c r="T208" s="905">
        <v>0.71</v>
      </c>
      <c r="U208" s="905">
        <v>0.64800000000000002</v>
      </c>
      <c r="V208" s="1012">
        <v>0.715</v>
      </c>
      <c r="W208" s="905">
        <v>0.68600000000000005</v>
      </c>
      <c r="X208" s="905">
        <v>0.71799999999999997</v>
      </c>
      <c r="Y208" s="905">
        <v>0.68899999999999995</v>
      </c>
      <c r="Z208" s="905">
        <v>0.65100000000000002</v>
      </c>
      <c r="AA208" s="1012">
        <v>0.68600000000000005</v>
      </c>
      <c r="AB208" s="905">
        <v>0.629</v>
      </c>
      <c r="AC208" s="905">
        <v>0.69399999999999995</v>
      </c>
      <c r="AD208" s="905">
        <v>0.68700000000000006</v>
      </c>
      <c r="AE208" s="905">
        <v>0.71099999999999997</v>
      </c>
      <c r="AF208" s="1012">
        <v>0.68100000000000005</v>
      </c>
      <c r="AG208" s="905">
        <v>0.67400000000000004</v>
      </c>
      <c r="AH208" s="905">
        <v>0.72299999999999998</v>
      </c>
      <c r="AI208" s="905">
        <v>0.67900000000000005</v>
      </c>
      <c r="AJ208" s="905">
        <v>0.63800000000000001</v>
      </c>
      <c r="AK208" s="1012">
        <v>0.67800000000000005</v>
      </c>
      <c r="AL208" s="905">
        <v>0.59099999999999997</v>
      </c>
      <c r="AM208" s="905">
        <v>0.57999999999999996</v>
      </c>
      <c r="AN208" s="905">
        <v>0.66700000000000004</v>
      </c>
      <c r="AO208" s="905">
        <v>0.59299999999999997</v>
      </c>
      <c r="AP208" s="1012">
        <v>0.60799999999999998</v>
      </c>
      <c r="AQ208" s="905">
        <v>0.60099999999999998</v>
      </c>
      <c r="AR208" s="905">
        <v>0.71</v>
      </c>
      <c r="AS208" s="905">
        <v>0.80200000000000005</v>
      </c>
      <c r="AT208" s="905">
        <v>0.73899999999999999</v>
      </c>
      <c r="AU208" s="1012">
        <v>0.71399999999999997</v>
      </c>
      <c r="AV208" s="905">
        <v>0.73299999999999998</v>
      </c>
      <c r="AW208" s="905">
        <v>0.84899999999999998</v>
      </c>
      <c r="AX208" s="905">
        <v>0.89</v>
      </c>
      <c r="AY208" s="905">
        <v>0.86699999999999999</v>
      </c>
      <c r="AZ208" s="1012">
        <v>0.83599999999999997</v>
      </c>
      <c r="BA208" s="905">
        <v>0.875</v>
      </c>
      <c r="BB208" s="905">
        <v>0.97099999999999997</v>
      </c>
      <c r="BC208" s="905">
        <v>0.82199999999999995</v>
      </c>
      <c r="BD208" s="905">
        <v>0.68400000000000005</v>
      </c>
      <c r="BE208" s="1012">
        <v>0.835</v>
      </c>
      <c r="BF208" s="905">
        <v>0.72399999999999998</v>
      </c>
      <c r="BG208" s="905">
        <v>0.79800000000000004</v>
      </c>
      <c r="BH208" s="907">
        <v>0.749</v>
      </c>
      <c r="BI208" s="130"/>
      <c r="BJ208" s="1011"/>
      <c r="BK208" s="130"/>
      <c r="BL208" s="130"/>
      <c r="BM208" s="130"/>
      <c r="BN208" s="130"/>
      <c r="BO208" s="1011"/>
      <c r="BP208" s="1011"/>
      <c r="BQ208" s="1011"/>
      <c r="BR208" s="1011"/>
      <c r="BS208" s="47"/>
    </row>
    <row r="209" spans="1:71" s="24" customFormat="1" ht="15" hidden="1" outlineLevel="1">
      <c r="A209" s="63" t="s">
        <v>384</v>
      </c>
      <c r="B209" s="495"/>
      <c r="C209" s="1028">
        <v>0.246</v>
      </c>
      <c r="D209" s="1028">
        <v>0.251</v>
      </c>
      <c r="E209" s="1028">
        <v>0.25700000000000001</v>
      </c>
      <c r="F209" s="1028">
        <v>0.26400000000000001</v>
      </c>
      <c r="G209" s="1028">
        <v>0.27100000000000002</v>
      </c>
      <c r="H209" s="911">
        <v>0.27300000000000002</v>
      </c>
      <c r="I209" s="911">
        <v>0.26</v>
      </c>
      <c r="J209" s="911">
        <v>0.26300000000000001</v>
      </c>
      <c r="K209" s="911">
        <v>0.27200000000000002</v>
      </c>
      <c r="L209" s="1028">
        <v>0.26700000000000002</v>
      </c>
      <c r="M209" s="911">
        <v>0.265</v>
      </c>
      <c r="N209" s="911">
        <v>0.26100000000000001</v>
      </c>
      <c r="O209" s="911">
        <v>0.249</v>
      </c>
      <c r="P209" s="911">
        <v>0.24399999999999999</v>
      </c>
      <c r="Q209" s="1028">
        <v>0.255</v>
      </c>
      <c r="R209" s="911">
        <v>0.24199999999999999</v>
      </c>
      <c r="S209" s="911">
        <v>0.247</v>
      </c>
      <c r="T209" s="911">
        <v>0.24299999999999999</v>
      </c>
      <c r="U209" s="911">
        <v>0.249</v>
      </c>
      <c r="V209" s="1028">
        <v>0.245</v>
      </c>
      <c r="W209" s="911">
        <v>0.24299999999999999</v>
      </c>
      <c r="X209" s="911">
        <v>0.248</v>
      </c>
      <c r="Y209" s="911">
        <v>0.25</v>
      </c>
      <c r="Z209" s="911">
        <v>0.25900000000000001</v>
      </c>
      <c r="AA209" s="1028">
        <v>0.25</v>
      </c>
      <c r="AB209" s="911">
        <v>0.246</v>
      </c>
      <c r="AC209" s="911">
        <v>0.25</v>
      </c>
      <c r="AD209" s="911">
        <v>0.252</v>
      </c>
      <c r="AE209" s="911">
        <v>0.255</v>
      </c>
      <c r="AF209" s="1028">
        <v>0.251</v>
      </c>
      <c r="AG209" s="911">
        <v>0.24399999999999999</v>
      </c>
      <c r="AH209" s="911">
        <v>0.235</v>
      </c>
      <c r="AI209" s="911">
        <v>0.23699999999999999</v>
      </c>
      <c r="AJ209" s="911">
        <v>0.249</v>
      </c>
      <c r="AK209" s="1028">
        <v>0.24199999999999999</v>
      </c>
      <c r="AL209" s="911">
        <v>0.25700000000000001</v>
      </c>
      <c r="AM209" s="911">
        <v>0.318</v>
      </c>
      <c r="AN209" s="911">
        <v>0.249</v>
      </c>
      <c r="AO209" s="911">
        <v>0.247</v>
      </c>
      <c r="AP209" s="1028">
        <v>0.26800000000000002</v>
      </c>
      <c r="AQ209" s="911">
        <v>0.23200000000000001</v>
      </c>
      <c r="AR209" s="911">
        <v>0.247</v>
      </c>
      <c r="AS209" s="911">
        <v>0.251</v>
      </c>
      <c r="AT209" s="911">
        <v>0.25</v>
      </c>
      <c r="AU209" s="1028">
        <v>0.245</v>
      </c>
      <c r="AV209" s="911">
        <v>0.24</v>
      </c>
      <c r="AW209" s="911">
        <v>0.23</v>
      </c>
      <c r="AX209" s="911">
        <v>0.22600000000000001</v>
      </c>
      <c r="AY209" s="911">
        <v>0.224</v>
      </c>
      <c r="AZ209" s="1028">
        <v>0.23</v>
      </c>
      <c r="BA209" s="911">
        <v>0.21099999999999999</v>
      </c>
      <c r="BB209" s="911">
        <v>0.205</v>
      </c>
      <c r="BC209" s="911">
        <v>0.21199999999999999</v>
      </c>
      <c r="BD209" s="911">
        <v>0.21099999999999999</v>
      </c>
      <c r="BE209" s="1028">
        <v>0.21</v>
      </c>
      <c r="BF209" s="911">
        <v>0.20599999999999999</v>
      </c>
      <c r="BG209" s="911">
        <v>0.21299999999999999</v>
      </c>
      <c r="BH209" s="920">
        <v>0.215</v>
      </c>
      <c r="BI209" s="343"/>
      <c r="BJ209" s="1029"/>
      <c r="BK209" s="343"/>
      <c r="BL209" s="343"/>
      <c r="BM209" s="343"/>
      <c r="BN209" s="343"/>
      <c r="BO209" s="1029"/>
      <c r="BP209" s="1029"/>
      <c r="BQ209" s="1029"/>
      <c r="BR209" s="1029"/>
      <c r="BS209" s="47"/>
    </row>
    <row r="210" spans="1:71" s="25" customFormat="1" ht="15" hidden="1" outlineLevel="1">
      <c r="A210" s="43" t="s">
        <v>385</v>
      </c>
      <c r="B210" s="496"/>
      <c r="C210" s="1015">
        <f t="shared" si="793" ref="C210:AK210">SUM(C208:C209)</f>
        <v>0.96199999999999997</v>
      </c>
      <c r="D210" s="1015">
        <f t="shared" si="793"/>
        <v>0.98099999999999998</v>
      </c>
      <c r="E210" s="1015">
        <f t="shared" si="793"/>
        <v>1.034</v>
      </c>
      <c r="F210" s="1015">
        <f t="shared" si="793"/>
        <v>0.955</v>
      </c>
      <c r="G210" s="1015">
        <f t="shared" si="793"/>
        <v>0.92</v>
      </c>
      <c r="H210" s="158">
        <f t="shared" si="793"/>
        <v>0.94700000000000006</v>
      </c>
      <c r="I210" s="158">
        <f t="shared" si="793"/>
        <v>0.97399999999999998</v>
      </c>
      <c r="J210" s="158">
        <f t="shared" si="793"/>
        <v>0.935</v>
      </c>
      <c r="K210" s="158">
        <f t="shared" si="793"/>
        <v>0.90</v>
      </c>
      <c r="L210" s="1015">
        <f t="shared" si="793"/>
        <v>0.93900000000000006</v>
      </c>
      <c r="M210" s="158">
        <f t="shared" si="793"/>
        <v>0.93700000000000006</v>
      </c>
      <c r="N210" s="158">
        <f t="shared" si="793"/>
        <v>1.0009999999999999</v>
      </c>
      <c r="O210" s="158">
        <f t="shared" si="793"/>
        <v>0.93600000000000005</v>
      </c>
      <c r="P210" s="158">
        <f t="shared" si="793"/>
        <v>0.92</v>
      </c>
      <c r="Q210" s="1015">
        <f t="shared" si="793"/>
        <v>0.94899999999999995</v>
      </c>
      <c r="R210" s="158">
        <f t="shared" si="793"/>
        <v>0.98399999999999999</v>
      </c>
      <c r="S210" s="158">
        <f t="shared" si="793"/>
        <v>1.008</v>
      </c>
      <c r="T210" s="158">
        <f t="shared" si="793"/>
        <v>0.95299999999999996</v>
      </c>
      <c r="U210" s="158">
        <f t="shared" si="793"/>
        <v>0.89700000000000002</v>
      </c>
      <c r="V210" s="1015">
        <f t="shared" si="793"/>
        <v>0.96</v>
      </c>
      <c r="W210" s="158">
        <f t="shared" si="793"/>
        <v>0.92900000000000005</v>
      </c>
      <c r="X210" s="158">
        <f t="shared" si="793"/>
        <v>0.96599999999999997</v>
      </c>
      <c r="Y210" s="158">
        <f t="shared" si="793"/>
        <v>0.93899999999999995</v>
      </c>
      <c r="Z210" s="158">
        <f t="shared" si="793"/>
        <v>0.91</v>
      </c>
      <c r="AA210" s="1015">
        <f t="shared" si="793"/>
        <v>0.93600000000000005</v>
      </c>
      <c r="AB210" s="158">
        <f t="shared" si="793"/>
        <v>0.875</v>
      </c>
      <c r="AC210" s="158">
        <f t="shared" si="793"/>
        <v>0.94399999999999995</v>
      </c>
      <c r="AD210" s="158">
        <f t="shared" si="793"/>
        <v>0.93900000000000006</v>
      </c>
      <c r="AE210" s="158">
        <f t="shared" si="793"/>
        <v>0.96599999999999997</v>
      </c>
      <c r="AF210" s="1015">
        <f t="shared" si="793"/>
        <v>0.93200000000000005</v>
      </c>
      <c r="AG210" s="158">
        <f t="shared" si="793"/>
        <v>0.91800000000000004</v>
      </c>
      <c r="AH210" s="158">
        <f t="shared" si="793"/>
        <v>0.95799999999999996</v>
      </c>
      <c r="AI210" s="158">
        <f t="shared" si="793"/>
        <v>0.91600000000000004</v>
      </c>
      <c r="AJ210" s="158">
        <f t="shared" si="793"/>
        <v>0.88700000000000001</v>
      </c>
      <c r="AK210" s="1015">
        <f t="shared" si="793"/>
        <v>0.92</v>
      </c>
      <c r="AL210" s="158">
        <f>SUM(AL208:AL209)</f>
        <v>0.84799999999999998</v>
      </c>
      <c r="AM210" s="158">
        <f>SUM(AM208:AM209)</f>
        <v>0.89799999999999991</v>
      </c>
      <c r="AN210" s="158">
        <f>SUM(AN208:AN209)</f>
        <v>0.91600000000000004</v>
      </c>
      <c r="AO210" s="158">
        <f t="shared" si="794" ref="AO210:AP210">SUM(AO208:AO209)</f>
        <v>0.84</v>
      </c>
      <c r="AP210" s="1015">
        <f t="shared" si="794"/>
        <v>0.876</v>
      </c>
      <c r="AQ210" s="158">
        <f t="shared" si="795" ref="AQ210:AV210">SUM(AQ208:AQ209)</f>
        <v>0.83299999999999996</v>
      </c>
      <c r="AR210" s="158">
        <f t="shared" si="795"/>
        <v>0.95699999999999996</v>
      </c>
      <c r="AS210" s="158">
        <f t="shared" si="795"/>
        <v>1.0529999999999999</v>
      </c>
      <c r="AT210" s="158">
        <f t="shared" si="795"/>
        <v>0.98899999999999999</v>
      </c>
      <c r="AU210" s="1015">
        <f t="shared" si="795"/>
        <v>0.95899999999999996</v>
      </c>
      <c r="AV210" s="158">
        <f t="shared" si="795"/>
        <v>0.97299999999999998</v>
      </c>
      <c r="AW210" s="158">
        <f t="shared" si="796" ref="AW210:BB210">SUM(AW208:AW209)</f>
        <v>1.079</v>
      </c>
      <c r="AX210" s="158">
        <f t="shared" si="796"/>
        <v>1.1160000000000001</v>
      </c>
      <c r="AY210" s="158">
        <f t="shared" si="796"/>
        <v>1.091</v>
      </c>
      <c r="AZ210" s="1015">
        <f t="shared" si="796"/>
        <v>1.0660000000000001</v>
      </c>
      <c r="BA210" s="158">
        <f t="shared" si="796"/>
        <v>1.0860000000000001</v>
      </c>
      <c r="BB210" s="158">
        <f t="shared" si="796"/>
        <v>1.1759999999999999</v>
      </c>
      <c r="BC210" s="158">
        <f t="shared" si="797" ref="BC210:BH210">SUM(BC208:BC209)</f>
        <v>1.034</v>
      </c>
      <c r="BD210" s="158">
        <f t="shared" si="797"/>
        <v>0.895</v>
      </c>
      <c r="BE210" s="1015">
        <f t="shared" si="797"/>
        <v>1.0449999999999999</v>
      </c>
      <c r="BF210" s="158">
        <f t="shared" si="797"/>
        <v>0.93</v>
      </c>
      <c r="BG210" s="158">
        <f t="shared" si="797"/>
        <v>1.0110000000000001</v>
      </c>
      <c r="BH210" s="750">
        <f t="shared" si="797"/>
        <v>0.96399999999999997</v>
      </c>
      <c r="BI210" s="393"/>
      <c r="BJ210" s="1016"/>
      <c r="BK210" s="393"/>
      <c r="BL210" s="393"/>
      <c r="BM210" s="393"/>
      <c r="BN210" s="393"/>
      <c r="BO210" s="1016"/>
      <c r="BP210" s="1016"/>
      <c r="BQ210" s="1016"/>
      <c r="BR210" s="1016"/>
      <c r="BS210" s="158"/>
    </row>
    <row r="211" spans="1:71" s="24" customFormat="1" ht="15" hidden="1" outlineLevel="1">
      <c r="A211" s="45" t="s">
        <v>386</v>
      </c>
      <c r="B211" s="494"/>
      <c r="C211" s="1011"/>
      <c r="D211" s="1011"/>
      <c r="E211" s="1011"/>
      <c r="F211" s="1011"/>
      <c r="G211" s="1011"/>
      <c r="H211" s="130"/>
      <c r="I211" s="130"/>
      <c r="J211" s="130"/>
      <c r="K211" s="130"/>
      <c r="L211" s="1011"/>
      <c r="M211" s="905">
        <v>-0.04</v>
      </c>
      <c r="N211" s="905">
        <v>-0.106</v>
      </c>
      <c r="O211" s="905">
        <v>-0.035000000000000003</v>
      </c>
      <c r="P211" s="905">
        <v>-0.047</v>
      </c>
      <c r="Q211" s="1012">
        <v>-0.057000000000000002</v>
      </c>
      <c r="R211" s="905">
        <v>-0.109</v>
      </c>
      <c r="S211" s="905">
        <v>-0.125</v>
      </c>
      <c r="T211" s="905">
        <v>-0.062</v>
      </c>
      <c r="U211" s="905">
        <v>-0.039</v>
      </c>
      <c r="V211" s="1012">
        <v>-0.084000000000000005</v>
      </c>
      <c r="W211" s="905">
        <v>-0.10100000000000001</v>
      </c>
      <c r="X211" s="905">
        <v>-0.127</v>
      </c>
      <c r="Y211" s="905">
        <v>-0.109</v>
      </c>
      <c r="Z211" s="905">
        <v>-0.075</v>
      </c>
      <c r="AA211" s="1012">
        <v>-0.10299999999999999</v>
      </c>
      <c r="AB211" s="905">
        <v>-0.045</v>
      </c>
      <c r="AC211" s="905">
        <v>-0.111</v>
      </c>
      <c r="AD211" s="905">
        <v>-0.075</v>
      </c>
      <c r="AE211" s="905">
        <v>-0.114</v>
      </c>
      <c r="AF211" s="1012">
        <v>-0.086999999999999994</v>
      </c>
      <c r="AG211" s="905">
        <v>-0.08</v>
      </c>
      <c r="AH211" s="905">
        <v>-0.123</v>
      </c>
      <c r="AI211" s="905">
        <v>-0.058000000000000003</v>
      </c>
      <c r="AJ211" s="905">
        <v>-0.033000000000000002</v>
      </c>
      <c r="AK211" s="1012">
        <v>-0.072999999999999995</v>
      </c>
      <c r="AL211" s="905">
        <v>-0.024</v>
      </c>
      <c r="AM211" s="905">
        <v>-0.13400000000000001</v>
      </c>
      <c r="AN211" s="905">
        <v>-0.111</v>
      </c>
      <c r="AO211" s="905">
        <v>-0.048000000000000001</v>
      </c>
      <c r="AP211" s="1012">
        <v>-0.079000000000000001</v>
      </c>
      <c r="AQ211" s="905">
        <v>-0.06</v>
      </c>
      <c r="AR211" s="905">
        <v>-0.095</v>
      </c>
      <c r="AS211" s="905">
        <v>-0.125</v>
      </c>
      <c r="AT211" s="905">
        <v>-0.050999999999999997</v>
      </c>
      <c r="AU211" s="1012">
        <v>-0.083000000000000004</v>
      </c>
      <c r="AV211" s="905">
        <v>-0.043999999999999997</v>
      </c>
      <c r="AW211" s="905">
        <v>-0.015</v>
      </c>
      <c r="AX211" s="905">
        <v>-0.068000000000000005</v>
      </c>
      <c r="AY211" s="905">
        <v>-0.068000000000000005</v>
      </c>
      <c r="AZ211" s="1012">
        <v>-0.070999999999999994</v>
      </c>
      <c r="BA211" s="905">
        <v>-0.14499999999999999</v>
      </c>
      <c r="BB211" s="905">
        <v>-0.22600000000000001</v>
      </c>
      <c r="BC211" s="905">
        <v>-0.096000000000000002</v>
      </c>
      <c r="BD211" s="905">
        <v>-0.005</v>
      </c>
      <c r="BE211" s="1012">
        <v>-0.11600000000000001</v>
      </c>
      <c r="BF211" s="905">
        <v>-0.057000000000000002</v>
      </c>
      <c r="BG211" s="905">
        <v>-0.159</v>
      </c>
      <c r="BH211" s="907">
        <v>-0.124</v>
      </c>
      <c r="BI211" s="130"/>
      <c r="BJ211" s="1011"/>
      <c r="BK211" s="130"/>
      <c r="BL211" s="130"/>
      <c r="BM211" s="130"/>
      <c r="BN211" s="130"/>
      <c r="BO211" s="1011"/>
      <c r="BP211" s="1011"/>
      <c r="BQ211" s="1011"/>
      <c r="BR211" s="1011"/>
      <c r="BS211" s="47"/>
    </row>
    <row r="212" spans="1:71" s="24" customFormat="1" ht="15" hidden="1" outlineLevel="1">
      <c r="A212" s="45" t="s">
        <v>387</v>
      </c>
      <c r="B212" s="494"/>
      <c r="C212" s="1011"/>
      <c r="D212" s="1011"/>
      <c r="E212" s="1011"/>
      <c r="F212" s="1011"/>
      <c r="G212" s="1011"/>
      <c r="H212" s="130"/>
      <c r="I212" s="130"/>
      <c r="J212" s="130"/>
      <c r="K212" s="130"/>
      <c r="L212" s="1011"/>
      <c r="M212" s="905">
        <v>-0.0060000000000000001</v>
      </c>
      <c r="N212" s="905">
        <v>-0.002</v>
      </c>
      <c r="O212" s="905">
        <v>-0.0060000000000000001</v>
      </c>
      <c r="P212" s="905">
        <v>0.002</v>
      </c>
      <c r="Q212" s="1012">
        <v>-0.0030000000000000001</v>
      </c>
      <c r="R212" s="905">
        <v>-0.0040000000000000001</v>
      </c>
      <c r="S212" s="905">
        <v>0.002</v>
      </c>
      <c r="T212" s="905">
        <v>-0.012</v>
      </c>
      <c r="U212" s="905">
        <v>0.017000000000000001</v>
      </c>
      <c r="V212" s="1012">
        <v>0.001</v>
      </c>
      <c r="W212" s="905">
        <v>0.012999999999999999</v>
      </c>
      <c r="X212" s="905">
        <v>0.01</v>
      </c>
      <c r="Y212" s="905">
        <v>0.016</v>
      </c>
      <c r="Z212" s="905">
        <v>0.021999999999999999</v>
      </c>
      <c r="AA212" s="1012">
        <v>0.016</v>
      </c>
      <c r="AB212" s="905">
        <v>0.0060000000000000001</v>
      </c>
      <c r="AC212" s="905">
        <v>0.017000000000000001</v>
      </c>
      <c r="AD212" s="905">
        <v>-0.002</v>
      </c>
      <c r="AE212" s="905">
        <v>0.010999999999999999</v>
      </c>
      <c r="AF212" s="1012">
        <v>0.0080000000000000002</v>
      </c>
      <c r="AG212" s="905">
        <v>0.0040000000000000001</v>
      </c>
      <c r="AH212" s="905">
        <v>0.0089999999999999993</v>
      </c>
      <c r="AI212" s="905">
        <v>0.005</v>
      </c>
      <c r="AJ212" s="905">
        <v>0.001</v>
      </c>
      <c r="AK212" s="1012">
        <v>0.0040000000000000001</v>
      </c>
      <c r="AL212" s="905">
        <v>-0.0030000000000000001</v>
      </c>
      <c r="AM212" s="905">
        <v>0.0040000000000000001</v>
      </c>
      <c r="AN212" s="905">
        <v>-0.0080000000000000002</v>
      </c>
      <c r="AO212" s="905">
        <v>0</v>
      </c>
      <c r="AP212" s="1012">
        <v>-0.002</v>
      </c>
      <c r="AQ212" s="905">
        <v>-0.001</v>
      </c>
      <c r="AR212" s="905">
        <v>0.002</v>
      </c>
      <c r="AS212" s="905">
        <v>-0.016</v>
      </c>
      <c r="AT212" s="905">
        <v>-0.017999999999999999</v>
      </c>
      <c r="AU212" s="1012">
        <v>-0.0080000000000000002</v>
      </c>
      <c r="AV212" s="905">
        <v>-0.015</v>
      </c>
      <c r="AW212" s="905">
        <v>-0.037999999999999999</v>
      </c>
      <c r="AX212" s="905">
        <v>-0.076999999999999999</v>
      </c>
      <c r="AY212" s="905">
        <v>-0.025</v>
      </c>
      <c r="AZ212" s="1012">
        <v>-0.039</v>
      </c>
      <c r="BA212" s="905">
        <v>-0.0030000000000000001</v>
      </c>
      <c r="BB212" s="905">
        <v>-0.016</v>
      </c>
      <c r="BC212" s="905">
        <v>-0.015</v>
      </c>
      <c r="BD212" s="905">
        <v>-0.016</v>
      </c>
      <c r="BE212" s="1012">
        <v>-0.012</v>
      </c>
      <c r="BF212" s="905">
        <v>-0.001</v>
      </c>
      <c r="BG212" s="905">
        <v>0.005</v>
      </c>
      <c r="BH212" s="907">
        <v>-0.0040000000000000001</v>
      </c>
      <c r="BI212" s="130"/>
      <c r="BJ212" s="1011"/>
      <c r="BK212" s="130"/>
      <c r="BL212" s="130"/>
      <c r="BM212" s="130"/>
      <c r="BN212" s="130"/>
      <c r="BO212" s="1011"/>
      <c r="BP212" s="1011"/>
      <c r="BQ212" s="1011"/>
      <c r="BR212" s="1011"/>
      <c r="BS212" s="47"/>
    </row>
    <row r="213" spans="1:71" s="24" customFormat="1" ht="15" hidden="1" outlineLevel="1">
      <c r="A213" s="63" t="s">
        <v>388</v>
      </c>
      <c r="B213" s="495"/>
      <c r="C213" s="1029"/>
      <c r="D213" s="1029"/>
      <c r="E213" s="1029"/>
      <c r="F213" s="1029"/>
      <c r="G213" s="1029"/>
      <c r="H213" s="343"/>
      <c r="I213" s="343"/>
      <c r="J213" s="343"/>
      <c r="K213" s="343"/>
      <c r="L213" s="1029"/>
      <c r="M213" s="911">
        <v>-0.001</v>
      </c>
      <c r="N213" s="911">
        <v>-0.002</v>
      </c>
      <c r="O213" s="911">
        <v>-0.002</v>
      </c>
      <c r="P213" s="911">
        <v>-0.001</v>
      </c>
      <c r="Q213" s="1028">
        <v>-0.002</v>
      </c>
      <c r="R213" s="911">
        <v>-0.001</v>
      </c>
      <c r="S213" s="911">
        <v>-0.001</v>
      </c>
      <c r="T213" s="911">
        <v>-0.001</v>
      </c>
      <c r="U213" s="911">
        <v>-0.001</v>
      </c>
      <c r="V213" s="1028">
        <v>-0.001</v>
      </c>
      <c r="W213" s="911">
        <v>0</v>
      </c>
      <c r="X213" s="911">
        <v>0</v>
      </c>
      <c r="Y213" s="911">
        <v>0</v>
      </c>
      <c r="Z213" s="911">
        <v>0</v>
      </c>
      <c r="AA213" s="1028">
        <v>0</v>
      </c>
      <c r="AB213" s="911">
        <v>0</v>
      </c>
      <c r="AC213" s="911">
        <v>0</v>
      </c>
      <c r="AD213" s="911">
        <v>0</v>
      </c>
      <c r="AE213" s="911">
        <v>0</v>
      </c>
      <c r="AF213" s="1028">
        <v>0</v>
      </c>
      <c r="AG213" s="911">
        <v>0</v>
      </c>
      <c r="AH213" s="911">
        <v>0</v>
      </c>
      <c r="AI213" s="911">
        <v>0</v>
      </c>
      <c r="AJ213" s="911">
        <v>-0.0060000000000000001</v>
      </c>
      <c r="AK213" s="1028">
        <v>-0.001</v>
      </c>
      <c r="AL213" s="911">
        <v>0</v>
      </c>
      <c r="AM213" s="343"/>
      <c r="AN213" s="343"/>
      <c r="AO213" s="911">
        <v>-0.001</v>
      </c>
      <c r="AP213" s="1028">
        <v>-0.001</v>
      </c>
      <c r="AQ213" s="911">
        <v>-0.001</v>
      </c>
      <c r="AR213" s="911">
        <v>-0.0070000000000000001</v>
      </c>
      <c r="AS213" s="911">
        <v>-0.0080000000000000002</v>
      </c>
      <c r="AT213" s="911">
        <v>-0.0070000000000000001</v>
      </c>
      <c r="AU213" s="1028">
        <v>-0.0060000000000000001</v>
      </c>
      <c r="AV213" s="911">
        <v>-0.005</v>
      </c>
      <c r="AW213" s="911">
        <v>-0.005</v>
      </c>
      <c r="AX213" s="911">
        <v>-0.0060000000000000001</v>
      </c>
      <c r="AY213" s="911">
        <v>-0.0060000000000000001</v>
      </c>
      <c r="AZ213" s="1028">
        <v>-0.005</v>
      </c>
      <c r="BA213" s="911">
        <v>-0.005</v>
      </c>
      <c r="BB213" s="911">
        <v>-0.005</v>
      </c>
      <c r="BC213" s="911">
        <v>-0.005</v>
      </c>
      <c r="BD213" s="911">
        <v>-0.005</v>
      </c>
      <c r="BE213" s="1028">
        <v>-0.005</v>
      </c>
      <c r="BF213" s="911">
        <v>-0.0030000000000000001</v>
      </c>
      <c r="BG213" s="911">
        <v>-0.0040000000000000001</v>
      </c>
      <c r="BH213" s="920">
        <v>-0.0040000000000000001</v>
      </c>
      <c r="BI213" s="343"/>
      <c r="BJ213" s="1029"/>
      <c r="BK213" s="343"/>
      <c r="BL213" s="343"/>
      <c r="BM213" s="343"/>
      <c r="BN213" s="343"/>
      <c r="BO213" s="1029"/>
      <c r="BP213" s="1029"/>
      <c r="BQ213" s="1029"/>
      <c r="BR213" s="1029"/>
      <c r="BS213" s="47"/>
    </row>
    <row r="214" spans="1:71" s="25" customFormat="1" ht="15" hidden="1" outlineLevel="1">
      <c r="A214" s="43" t="s">
        <v>389</v>
      </c>
      <c r="B214" s="496"/>
      <c r="C214" s="1016"/>
      <c r="D214" s="1016"/>
      <c r="E214" s="1016"/>
      <c r="F214" s="1016"/>
      <c r="G214" s="1016"/>
      <c r="H214" s="393"/>
      <c r="I214" s="393"/>
      <c r="J214" s="393"/>
      <c r="K214" s="393"/>
      <c r="L214" s="1016"/>
      <c r="M214" s="158">
        <f t="shared" si="798" ref="M214:AW214">SUM(M210:M213)</f>
        <v>0.89</v>
      </c>
      <c r="N214" s="158">
        <f t="shared" si="798"/>
        <v>0.8909999999999999</v>
      </c>
      <c r="O214" s="158">
        <f t="shared" si="798"/>
        <v>0.89300000000000002</v>
      </c>
      <c r="P214" s="158">
        <f t="shared" si="798"/>
        <v>0.874</v>
      </c>
      <c r="Q214" s="1015">
        <f t="shared" si="798"/>
        <v>0.8869999999999999</v>
      </c>
      <c r="R214" s="158">
        <f t="shared" si="798"/>
        <v>0.87</v>
      </c>
      <c r="S214" s="158">
        <f t="shared" si="798"/>
        <v>0.88400000000000001</v>
      </c>
      <c r="T214" s="158">
        <f t="shared" si="798"/>
        <v>0.878</v>
      </c>
      <c r="U214" s="158">
        <f t="shared" si="798"/>
        <v>0.874</v>
      </c>
      <c r="V214" s="1015">
        <f t="shared" si="798"/>
        <v>0.876</v>
      </c>
      <c r="W214" s="158">
        <f t="shared" si="798"/>
        <v>0.84100000000000008</v>
      </c>
      <c r="X214" s="158">
        <f t="shared" si="798"/>
        <v>0.84899999999999998</v>
      </c>
      <c r="Y214" s="158">
        <f t="shared" si="798"/>
        <v>0.84599999999999997</v>
      </c>
      <c r="Z214" s="158">
        <f t="shared" si="798"/>
        <v>0.8570000000000001</v>
      </c>
      <c r="AA214" s="1015">
        <f t="shared" si="798"/>
        <v>0.84900000000000009</v>
      </c>
      <c r="AB214" s="158">
        <f t="shared" si="798"/>
        <v>0.83599999999999997</v>
      </c>
      <c r="AC214" s="158">
        <f t="shared" si="798"/>
        <v>0.85</v>
      </c>
      <c r="AD214" s="158">
        <f t="shared" si="798"/>
        <v>0.8620000000000001</v>
      </c>
      <c r="AE214" s="158">
        <f t="shared" si="798"/>
        <v>0.86299999999999999</v>
      </c>
      <c r="AF214" s="1015">
        <f t="shared" si="798"/>
        <v>0.85300000000000009</v>
      </c>
      <c r="AG214" s="158">
        <f t="shared" si="798"/>
        <v>0.84200000000000008</v>
      </c>
      <c r="AH214" s="158">
        <f t="shared" si="798"/>
        <v>0.84399999999999997</v>
      </c>
      <c r="AI214" s="158">
        <f t="shared" si="798"/>
        <v>0.86299999999999999</v>
      </c>
      <c r="AJ214" s="158">
        <f t="shared" si="798"/>
        <v>0.84899999999999998</v>
      </c>
      <c r="AK214" s="1015">
        <f t="shared" si="798"/>
        <v>0.85000000000000009</v>
      </c>
      <c r="AL214" s="158">
        <f t="shared" si="798"/>
        <v>0.82099999999999995</v>
      </c>
      <c r="AM214" s="158">
        <f t="shared" si="798"/>
        <v>0.7679999999999999</v>
      </c>
      <c r="AN214" s="158">
        <f t="shared" si="798"/>
        <v>0.79700000000000004</v>
      </c>
      <c r="AO214" s="158">
        <f t="shared" si="798"/>
        <v>0.79099999999999993</v>
      </c>
      <c r="AP214" s="1015">
        <f t="shared" si="798"/>
        <v>0.79400000000000004</v>
      </c>
      <c r="AQ214" s="158">
        <f t="shared" si="798"/>
        <v>0.77099999999999991</v>
      </c>
      <c r="AR214" s="158">
        <f t="shared" si="798"/>
        <v>0.85699999999999998</v>
      </c>
      <c r="AS214" s="158">
        <f t="shared" si="798"/>
        <v>0.90399999999999991</v>
      </c>
      <c r="AT214" s="158">
        <f t="shared" si="798"/>
        <v>0.91299999999999992</v>
      </c>
      <c r="AU214" s="1015">
        <f t="shared" si="798"/>
        <v>0.86199999999999999</v>
      </c>
      <c r="AV214" s="158">
        <f t="shared" si="798"/>
        <v>0.90899999999999992</v>
      </c>
      <c r="AW214" s="158">
        <f t="shared" si="798"/>
        <v>1.0210000000000001</v>
      </c>
      <c r="AX214" s="158">
        <f t="shared" si="799" ref="AX214:BC214">SUM(AX210:AX213)</f>
        <v>0.96500000000000008</v>
      </c>
      <c r="AY214" s="158">
        <f t="shared" si="799"/>
        <v>0.99199999999999988</v>
      </c>
      <c r="AZ214" s="1015">
        <f t="shared" si="799"/>
        <v>0.95100000000000007</v>
      </c>
      <c r="BA214" s="158">
        <f t="shared" si="799"/>
        <v>0.93300000000000005</v>
      </c>
      <c r="BB214" s="158">
        <f t="shared" si="799"/>
        <v>0.92899999999999994</v>
      </c>
      <c r="BC214" s="158">
        <f t="shared" si="799"/>
        <v>0.91800000000000004</v>
      </c>
      <c r="BD214" s="158">
        <f>SUM(BD210:BD213)</f>
        <v>0.86899999999999999</v>
      </c>
      <c r="BE214" s="1015">
        <f>SUM(BE210:BE213)</f>
        <v>0.91199999999999992</v>
      </c>
      <c r="BF214" s="158">
        <f>SUM(BF210:BF213)</f>
        <v>0.86899999999999988</v>
      </c>
      <c r="BG214" s="158">
        <f>SUM(BG210:BG213)</f>
        <v>0.85300000000000009</v>
      </c>
      <c r="BH214" s="750">
        <f>SUM(BH210:BH213)</f>
        <v>0.83199999999999996</v>
      </c>
      <c r="BI214" s="393"/>
      <c r="BJ214" s="1016"/>
      <c r="BK214" s="393"/>
      <c r="BL214" s="393"/>
      <c r="BM214" s="393"/>
      <c r="BN214" s="393"/>
      <c r="BO214" s="1016"/>
      <c r="BP214" s="1016"/>
      <c r="BQ214" s="1016"/>
      <c r="BR214" s="1016"/>
      <c r="BS214" s="158"/>
    </row>
    <row r="215" spans="1:71" s="25" customFormat="1" ht="15" collapsed="1">
      <c r="A215" s="479"/>
      <c r="B215" s="496"/>
      <c r="C215" s="1016"/>
      <c r="D215" s="1016"/>
      <c r="E215" s="1016"/>
      <c r="F215" s="1016"/>
      <c r="G215" s="1016"/>
      <c r="H215" s="393"/>
      <c r="I215" s="393"/>
      <c r="J215" s="393"/>
      <c r="K215" s="393"/>
      <c r="L215" s="1016"/>
      <c r="M215" s="393"/>
      <c r="N215" s="393"/>
      <c r="O215" s="393"/>
      <c r="P215" s="393"/>
      <c r="Q215" s="1016"/>
      <c r="R215" s="393"/>
      <c r="S215" s="393"/>
      <c r="T215" s="393"/>
      <c r="U215" s="393"/>
      <c r="V215" s="1016"/>
      <c r="W215" s="393"/>
      <c r="X215" s="393"/>
      <c r="Y215" s="393"/>
      <c r="Z215" s="393"/>
      <c r="AA215" s="1016"/>
      <c r="AB215" s="393"/>
      <c r="AC215" s="393"/>
      <c r="AD215" s="393"/>
      <c r="AE215" s="393"/>
      <c r="AF215" s="1016"/>
      <c r="AG215" s="393"/>
      <c r="AH215" s="393"/>
      <c r="AI215" s="393"/>
      <c r="AJ215" s="393"/>
      <c r="AK215" s="1016"/>
      <c r="AL215" s="393"/>
      <c r="AM215" s="393"/>
      <c r="AN215" s="393"/>
      <c r="AO215" s="393"/>
      <c r="AP215" s="1016"/>
      <c r="AQ215" s="393"/>
      <c r="AR215" s="393"/>
      <c r="AS215" s="393"/>
      <c r="AT215" s="393"/>
      <c r="AU215" s="1016"/>
      <c r="AV215" s="393"/>
      <c r="AW215" s="393"/>
      <c r="AX215" s="393"/>
      <c r="AY215" s="393"/>
      <c r="AZ215" s="1016"/>
      <c r="BA215" s="393"/>
      <c r="BB215" s="393"/>
      <c r="BC215" s="393"/>
      <c r="BD215" s="393"/>
      <c r="BE215" s="1016"/>
      <c r="BF215" s="393"/>
      <c r="BG215" s="393"/>
      <c r="BH215" s="751"/>
      <c r="BI215" s="393"/>
      <c r="BJ215" s="1016"/>
      <c r="BK215" s="393"/>
      <c r="BL215" s="393"/>
      <c r="BM215" s="393"/>
      <c r="BN215" s="393"/>
      <c r="BO215" s="1016"/>
      <c r="BP215" s="1016"/>
      <c r="BQ215" s="1016"/>
      <c r="BR215" s="1016"/>
      <c r="BS215" s="158"/>
    </row>
    <row r="216" spans="1:71" s="17" customFormat="1" ht="15">
      <c r="A216" s="818" t="s">
        <v>600</v>
      </c>
      <c r="B216" s="818"/>
      <c r="C216" s="837"/>
      <c r="D216" s="837"/>
      <c r="E216" s="837"/>
      <c r="F216" s="837"/>
      <c r="G216" s="837"/>
      <c r="H216" s="837"/>
      <c r="I216" s="837"/>
      <c r="J216" s="837"/>
      <c r="K216" s="837"/>
      <c r="L216" s="837"/>
      <c r="M216" s="837"/>
      <c r="N216" s="837"/>
      <c r="O216" s="837"/>
      <c r="P216" s="837"/>
      <c r="Q216" s="837"/>
      <c r="R216" s="837"/>
      <c r="S216" s="837"/>
      <c r="T216" s="837"/>
      <c r="U216" s="837"/>
      <c r="V216" s="837"/>
      <c r="W216" s="837"/>
      <c r="X216" s="837"/>
      <c r="Y216" s="837"/>
      <c r="Z216" s="837"/>
      <c r="AA216" s="837"/>
      <c r="AB216" s="837"/>
      <c r="AC216" s="837"/>
      <c r="AD216" s="837"/>
      <c r="AE216" s="837"/>
      <c r="AF216" s="837"/>
      <c r="AG216" s="837"/>
      <c r="AH216" s="837"/>
      <c r="AI216" s="837"/>
      <c r="AJ216" s="837"/>
      <c r="AK216" s="837"/>
      <c r="AL216" s="837"/>
      <c r="AM216" s="837"/>
      <c r="AN216" s="837"/>
      <c r="AO216" s="837"/>
      <c r="AP216" s="837"/>
      <c r="AQ216" s="837"/>
      <c r="AR216" s="837"/>
      <c r="AS216" s="837"/>
      <c r="AT216" s="837"/>
      <c r="AU216" s="837"/>
      <c r="AV216" s="837"/>
      <c r="AW216" s="837"/>
      <c r="AX216" s="837"/>
      <c r="AY216" s="837"/>
      <c r="AZ216" s="837"/>
      <c r="BA216" s="837"/>
      <c r="BB216" s="837"/>
      <c r="BC216" s="837"/>
      <c r="BD216" s="837"/>
      <c r="BE216" s="837"/>
      <c r="BF216" s="837"/>
      <c r="BG216" s="837"/>
      <c r="BH216" s="838"/>
      <c r="BI216" s="837"/>
      <c r="BJ216" s="837"/>
      <c r="BK216" s="837"/>
      <c r="BL216" s="837"/>
      <c r="BM216" s="837"/>
      <c r="BN216" s="837"/>
      <c r="BO216" s="837"/>
      <c r="BP216" s="837"/>
      <c r="BQ216" s="837"/>
      <c r="BR216" s="837"/>
      <c r="BS216" s="457"/>
    </row>
    <row r="217" spans="1:71" s="51" customFormat="1" ht="15">
      <c r="A217" s="109" t="s">
        <v>602</v>
      </c>
      <c r="B217" s="391"/>
      <c r="C217" s="1000"/>
      <c r="D217" s="1000"/>
      <c r="E217" s="1000"/>
      <c r="F217" s="1000"/>
      <c r="G217" s="1000"/>
      <c r="H217" s="128"/>
      <c r="I217" s="128"/>
      <c r="J217" s="128"/>
      <c r="K217" s="128"/>
      <c r="L217" s="1000"/>
      <c r="M217" s="128"/>
      <c r="N217" s="128"/>
      <c r="O217" s="128"/>
      <c r="P217" s="128"/>
      <c r="Q217" s="1000"/>
      <c r="R217" s="128"/>
      <c r="S217" s="128"/>
      <c r="T217" s="128"/>
      <c r="U217" s="128"/>
      <c r="V217" s="1000"/>
      <c r="W217" s="128"/>
      <c r="X217" s="128"/>
      <c r="Y217" s="128"/>
      <c r="Z217" s="128"/>
      <c r="AA217" s="1000"/>
      <c r="AB217" s="57">
        <f t="shared" si="800" ref="AB217">AA219</f>
        <v>43183</v>
      </c>
      <c r="AC217" s="57">
        <f t="shared" si="801" ref="AC217">AB219</f>
        <v>42457</v>
      </c>
      <c r="AD217" s="57">
        <f t="shared" si="802" ref="AD217">AC219</f>
        <v>43241</v>
      </c>
      <c r="AE217" s="57">
        <f>AD219</f>
        <v>43996</v>
      </c>
      <c r="AF217" s="999">
        <f>AA219</f>
        <v>43183</v>
      </c>
      <c r="AG217" s="57">
        <f t="shared" si="803" ref="AG217">AF219</f>
        <v>43634</v>
      </c>
      <c r="AH217" s="57">
        <f t="shared" si="804" ref="AH217">AG219</f>
        <v>44810</v>
      </c>
      <c r="AI217" s="57">
        <f t="shared" si="805" ref="AI217">AH219</f>
        <v>46253</v>
      </c>
      <c r="AJ217" s="57">
        <f>AI219</f>
        <v>47761</v>
      </c>
      <c r="AK217" s="999">
        <f>AF219</f>
        <v>43634</v>
      </c>
      <c r="AL217" s="57">
        <f t="shared" si="806" ref="AL217">AK219</f>
        <v>48414</v>
      </c>
      <c r="AM217" s="57">
        <f>AL219</f>
        <v>45188</v>
      </c>
      <c r="AN217" s="57">
        <f>AM219</f>
        <v>48171</v>
      </c>
      <c r="AO217" s="57">
        <f>AN219</f>
        <v>49843</v>
      </c>
      <c r="AP217" s="999">
        <f>AK219</f>
        <v>48414</v>
      </c>
      <c r="AQ217" s="57">
        <f>AP219</f>
        <v>50134</v>
      </c>
      <c r="AR217" s="57">
        <f>AQ219</f>
        <v>51785</v>
      </c>
      <c r="AS217" s="57">
        <f>AR219</f>
        <v>53967</v>
      </c>
      <c r="AT217" s="57">
        <f>AS219</f>
        <v>54295</v>
      </c>
      <c r="AU217" s="999">
        <f>AP219</f>
        <v>50134</v>
      </c>
      <c r="AV217" s="57">
        <f>AU219</f>
        <v>57258</v>
      </c>
      <c r="AW217" s="57">
        <f>AV219</f>
        <v>52773</v>
      </c>
      <c r="AX217" s="57">
        <f>AW219</f>
        <v>52095</v>
      </c>
      <c r="AY217" s="57">
        <f>AX219</f>
        <v>52657</v>
      </c>
      <c r="AZ217" s="999">
        <f>AU219</f>
        <v>57258</v>
      </c>
      <c r="BA217" s="57">
        <f>AZ219</f>
        <v>54011</v>
      </c>
      <c r="BB217" s="57">
        <f>BA219</f>
        <v>55312</v>
      </c>
      <c r="BC217" s="57">
        <f>BB219</f>
        <v>56426</v>
      </c>
      <c r="BD217" s="57">
        <f>BC219</f>
        <v>56536</v>
      </c>
      <c r="BE217" s="999">
        <f>AZ219</f>
        <v>54011</v>
      </c>
      <c r="BF217" s="57">
        <f>BE219</f>
        <v>59540</v>
      </c>
      <c r="BG217" s="57">
        <f>BF219</f>
        <v>60987</v>
      </c>
      <c r="BH217" s="745">
        <f>BG219</f>
        <v>63703</v>
      </c>
      <c r="BI217" s="128">
        <f>BH219</f>
        <v>68259</v>
      </c>
      <c r="BJ217" s="1000">
        <f>BE219</f>
        <v>59540</v>
      </c>
      <c r="BK217" s="128">
        <f>BJ219</f>
        <v>57158.40</v>
      </c>
      <c r="BL217" s="128">
        <f>BK219</f>
        <v>61596.870000000003</v>
      </c>
      <c r="BM217" s="128">
        <f>BL219</f>
        <v>60517.849999999999</v>
      </c>
      <c r="BN217" s="128">
        <f>BM219</f>
        <v>66211.229999999996</v>
      </c>
      <c r="BO217" s="1000">
        <f>BJ219</f>
        <v>57158.40</v>
      </c>
      <c r="BP217" s="1000">
        <f>BO219</f>
        <v>54872.063999999998</v>
      </c>
      <c r="BQ217" s="1000">
        <f>BP219</f>
        <v>55420.784639999998</v>
      </c>
      <c r="BR217" s="1000">
        <f>BQ219</f>
        <v>55974.992486399999</v>
      </c>
      <c r="BS217" s="57"/>
    </row>
    <row r="218" spans="1:71" s="51" customFormat="1" ht="15">
      <c r="A218" s="110" t="s">
        <v>603</v>
      </c>
      <c r="B218" s="497"/>
      <c r="C218" s="1030"/>
      <c r="D218" s="1030"/>
      <c r="E218" s="1030"/>
      <c r="F218" s="1030"/>
      <c r="G218" s="1030"/>
      <c r="H218" s="498"/>
      <c r="I218" s="498"/>
      <c r="J218" s="498"/>
      <c r="K218" s="498"/>
      <c r="L218" s="1030"/>
      <c r="M218" s="498"/>
      <c r="N218" s="498"/>
      <c r="O218" s="498"/>
      <c r="P218" s="498"/>
      <c r="Q218" s="1030"/>
      <c r="R218" s="498"/>
      <c r="S218" s="498"/>
      <c r="T218" s="498"/>
      <c r="U218" s="498"/>
      <c r="V218" s="1030"/>
      <c r="W218" s="498"/>
      <c r="X218" s="498"/>
      <c r="Y218" s="498"/>
      <c r="Z218" s="498"/>
      <c r="AA218" s="1030"/>
      <c r="AB218" s="58">
        <f t="shared" si="807" ref="AB218:AL218">AB219-AB217</f>
        <v>-726</v>
      </c>
      <c r="AC218" s="58">
        <f t="shared" si="807"/>
        <v>784</v>
      </c>
      <c r="AD218" s="58">
        <f t="shared" si="807"/>
        <v>755</v>
      </c>
      <c r="AE218" s="58">
        <f t="shared" si="807"/>
        <v>-362</v>
      </c>
      <c r="AF218" s="998">
        <f t="shared" si="807"/>
        <v>451</v>
      </c>
      <c r="AG218" s="58">
        <f t="shared" si="807"/>
        <v>1176</v>
      </c>
      <c r="AH218" s="58">
        <f t="shared" si="807"/>
        <v>1443</v>
      </c>
      <c r="AI218" s="58">
        <f t="shared" si="807"/>
        <v>1508</v>
      </c>
      <c r="AJ218" s="58">
        <f t="shared" si="807"/>
        <v>653</v>
      </c>
      <c r="AK218" s="998">
        <f t="shared" si="807"/>
        <v>4780</v>
      </c>
      <c r="AL218" s="58">
        <f t="shared" si="807"/>
        <v>-3226</v>
      </c>
      <c r="AM218" s="58">
        <f>AM219-AM217</f>
        <v>2983</v>
      </c>
      <c r="AN218" s="58">
        <f>AN219-AN217</f>
        <v>1672</v>
      </c>
      <c r="AO218" s="58">
        <f t="shared" si="808" ref="AO218:AP218">AO219-AO217</f>
        <v>291</v>
      </c>
      <c r="AP218" s="998">
        <f t="shared" si="808"/>
        <v>1720</v>
      </c>
      <c r="AQ218" s="58">
        <f t="shared" si="809" ref="AQ218:AV218">AQ219-AQ217</f>
        <v>1651</v>
      </c>
      <c r="AR218" s="58">
        <f t="shared" si="809"/>
        <v>2182</v>
      </c>
      <c r="AS218" s="58">
        <f t="shared" si="809"/>
        <v>328</v>
      </c>
      <c r="AT218" s="58">
        <f t="shared" si="809"/>
        <v>2963</v>
      </c>
      <c r="AU218" s="998">
        <f t="shared" si="809"/>
        <v>7124</v>
      </c>
      <c r="AV218" s="58">
        <f t="shared" si="809"/>
        <v>-4485</v>
      </c>
      <c r="AW218" s="58">
        <f t="shared" si="810" ref="AW218:BJ218">AW219-AW217</f>
        <v>-678</v>
      </c>
      <c r="AX218" s="58">
        <f t="shared" si="810"/>
        <v>562</v>
      </c>
      <c r="AY218" s="58">
        <f t="shared" si="810"/>
        <v>1354</v>
      </c>
      <c r="AZ218" s="998">
        <f t="shared" si="810"/>
        <v>-3247</v>
      </c>
      <c r="BA218" s="58">
        <f t="shared" si="811" ref="BA218:BI218">BA219-BA217</f>
        <v>1301</v>
      </c>
      <c r="BB218" s="58">
        <f t="shared" si="811"/>
        <v>1114</v>
      </c>
      <c r="BC218" s="58">
        <f t="shared" si="811"/>
        <v>110</v>
      </c>
      <c r="BD218" s="58">
        <f t="shared" si="811"/>
        <v>3004</v>
      </c>
      <c r="BE218" s="993">
        <f t="shared" si="811"/>
        <v>5529</v>
      </c>
      <c r="BF218" s="58">
        <f t="shared" si="812" ref="BF218">BF219-BF217</f>
        <v>1447</v>
      </c>
      <c r="BG218" s="58">
        <f>BG219-BG217</f>
        <v>2716</v>
      </c>
      <c r="BH218" s="744">
        <f>BH219-BH217</f>
        <v>4556</v>
      </c>
      <c r="BI218" s="115">
        <f t="shared" si="811"/>
        <v>-11100.60</v>
      </c>
      <c r="BJ218" s="995">
        <f t="shared" si="810"/>
        <v>-2381.5999999999985</v>
      </c>
      <c r="BK218" s="115">
        <f t="shared" si="813" ref="BK218:BR218">BK219-BK217</f>
        <v>4438.4700000000012</v>
      </c>
      <c r="BL218" s="115">
        <f t="shared" si="813"/>
        <v>-1079.0200000000041</v>
      </c>
      <c r="BM218" s="115">
        <f t="shared" si="813"/>
        <v>5693.3799999999974</v>
      </c>
      <c r="BN218" s="115">
        <f t="shared" si="813"/>
        <v>-11339.165999999997</v>
      </c>
      <c r="BO218" s="995">
        <f t="shared" si="813"/>
        <v>-2286.336000000003</v>
      </c>
      <c r="BP218" s="995">
        <f t="shared" si="813"/>
        <v>548.72063999999955</v>
      </c>
      <c r="BQ218" s="995">
        <f t="shared" si="813"/>
        <v>554.20784640000056</v>
      </c>
      <c r="BR218" s="995">
        <f t="shared" si="813"/>
        <v>559.74992486400151</v>
      </c>
      <c r="BS218" s="57"/>
    </row>
    <row r="219" spans="1:71" s="51" customFormat="1" ht="15">
      <c r="A219" s="480" t="s">
        <v>604</v>
      </c>
      <c r="B219" s="391"/>
      <c r="C219" s="1000"/>
      <c r="D219" s="1000"/>
      <c r="E219" s="1000"/>
      <c r="F219" s="1000"/>
      <c r="G219" s="1000"/>
      <c r="H219" s="128"/>
      <c r="I219" s="128"/>
      <c r="J219" s="128"/>
      <c r="K219" s="128"/>
      <c r="L219" s="1000"/>
      <c r="M219" s="128"/>
      <c r="N219" s="128"/>
      <c r="O219" s="128"/>
      <c r="P219" s="128"/>
      <c r="Q219" s="1000"/>
      <c r="R219" s="128"/>
      <c r="S219" s="128"/>
      <c r="T219" s="128"/>
      <c r="U219" s="128"/>
      <c r="V219" s="1000"/>
      <c r="W219" s="128"/>
      <c r="X219" s="128"/>
      <c r="Y219" s="128"/>
      <c r="Z219" s="128"/>
      <c r="AA219" s="1031">
        <v>43183</v>
      </c>
      <c r="AB219" s="922">
        <v>42457</v>
      </c>
      <c r="AC219" s="922">
        <v>43241</v>
      </c>
      <c r="AD219" s="922">
        <v>43996</v>
      </c>
      <c r="AE219" s="128">
        <f>AF219</f>
        <v>43634</v>
      </c>
      <c r="AF219" s="1031">
        <v>43634</v>
      </c>
      <c r="AG219" s="922">
        <v>44810</v>
      </c>
      <c r="AH219" s="922">
        <v>46253</v>
      </c>
      <c r="AI219" s="922">
        <v>47761</v>
      </c>
      <c r="AJ219" s="128">
        <f>AK219</f>
        <v>48414</v>
      </c>
      <c r="AK219" s="1031">
        <v>48414</v>
      </c>
      <c r="AL219" s="922">
        <v>45188</v>
      </c>
      <c r="AM219" s="922">
        <v>48171</v>
      </c>
      <c r="AN219" s="922">
        <v>49843</v>
      </c>
      <c r="AO219" s="128">
        <f>AP219</f>
        <v>50134</v>
      </c>
      <c r="AP219" s="1031">
        <v>50134</v>
      </c>
      <c r="AQ219" s="922">
        <v>51785</v>
      </c>
      <c r="AR219" s="922">
        <v>53967</v>
      </c>
      <c r="AS219" s="922">
        <v>54295</v>
      </c>
      <c r="AT219" s="128">
        <f>AU219</f>
        <v>57258</v>
      </c>
      <c r="AU219" s="1031">
        <v>57258</v>
      </c>
      <c r="AV219" s="922">
        <v>52773</v>
      </c>
      <c r="AW219" s="922">
        <v>52095</v>
      </c>
      <c r="AX219" s="922">
        <v>52657</v>
      </c>
      <c r="AY219" s="128">
        <f>AZ219</f>
        <v>54011</v>
      </c>
      <c r="AZ219" s="1031">
        <v>54011</v>
      </c>
      <c r="BA219" s="922">
        <v>55312</v>
      </c>
      <c r="BB219" s="922">
        <v>56426</v>
      </c>
      <c r="BC219" s="922">
        <v>56536</v>
      </c>
      <c r="BD219" s="57">
        <f>BE219</f>
        <v>59540</v>
      </c>
      <c r="BE219" s="1032">
        <v>59540</v>
      </c>
      <c r="BF219" s="922">
        <v>60987</v>
      </c>
      <c r="BG219" s="128">
        <f>70604-BG263-BG301-BG331</f>
        <v>63703</v>
      </c>
      <c r="BH219" s="924">
        <v>68259</v>
      </c>
      <c r="BI219" s="128">
        <f>BD219*(1+BI221)</f>
        <v>57158.40</v>
      </c>
      <c r="BJ219" s="1000">
        <f>BI219</f>
        <v>57158.40</v>
      </c>
      <c r="BK219" s="128">
        <f>BF219*(1+BK221)</f>
        <v>61596.870000000003</v>
      </c>
      <c r="BL219" s="128">
        <f>BG219*(1+BL221)</f>
        <v>60517.849999999999</v>
      </c>
      <c r="BM219" s="128">
        <f>BH219*(1+BM221)</f>
        <v>66211.229999999996</v>
      </c>
      <c r="BN219" s="128">
        <f>BI219*(1+BN221)</f>
        <v>54872.063999999998</v>
      </c>
      <c r="BO219" s="1000">
        <f>BN219</f>
        <v>54872.063999999998</v>
      </c>
      <c r="BP219" s="1000">
        <f>BO219*(1+BP221)</f>
        <v>55420.784639999998</v>
      </c>
      <c r="BQ219" s="1000">
        <f>BP219*(1+BQ221)</f>
        <v>55974.992486399999</v>
      </c>
      <c r="BR219" s="1000">
        <f>BQ219*(1+BR221)</f>
        <v>56534.742411264</v>
      </c>
      <c r="BS219" s="57"/>
    </row>
    <row r="220" spans="1:71" s="25" customFormat="1" ht="15">
      <c r="A220" s="109" t="s">
        <v>605</v>
      </c>
      <c r="B220" s="496"/>
      <c r="C220" s="1000"/>
      <c r="D220" s="1000"/>
      <c r="E220" s="1000"/>
      <c r="F220" s="1000"/>
      <c r="G220" s="1000"/>
      <c r="H220" s="128"/>
      <c r="I220" s="128"/>
      <c r="J220" s="128"/>
      <c r="K220" s="128"/>
      <c r="L220" s="1000"/>
      <c r="M220" s="128"/>
      <c r="N220" s="128"/>
      <c r="O220" s="128"/>
      <c r="P220" s="128"/>
      <c r="Q220" s="1000"/>
      <c r="R220" s="128"/>
      <c r="S220" s="128"/>
      <c r="T220" s="128"/>
      <c r="U220" s="128"/>
      <c r="V220" s="1000"/>
      <c r="W220" s="128"/>
      <c r="X220" s="128"/>
      <c r="Y220" s="128"/>
      <c r="Z220" s="128"/>
      <c r="AA220" s="1000"/>
      <c r="AB220" s="57">
        <f t="shared" si="814" ref="AB220">AVERAGE(AA219,AB219)</f>
        <v>42820</v>
      </c>
      <c r="AC220" s="57">
        <f t="shared" si="815" ref="AC220">AVERAGE(AB219,AC219)</f>
        <v>42849</v>
      </c>
      <c r="AD220" s="57">
        <f t="shared" si="816" ref="AD220">AVERAGE(AC219,AD219)</f>
        <v>43618.50</v>
      </c>
      <c r="AE220" s="57">
        <f t="shared" si="817" ref="AE220">AVERAGE(AD219,AE219)</f>
        <v>43815</v>
      </c>
      <c r="AF220" s="999">
        <f>SUM(AB220*AB$3,AC220*AC$3,AD220*AD$3,AE220*AE$3)/SUM(AB$3,AC$3,AD$3,AE$3)</f>
        <v>43279.290410958907</v>
      </c>
      <c r="AG220" s="57">
        <f t="shared" si="818" ref="AG220">AVERAGE(AF219,AG219)</f>
        <v>44222</v>
      </c>
      <c r="AH220" s="57">
        <f t="shared" si="819" ref="AH220">AVERAGE(AG219,AH219)</f>
        <v>45531.50</v>
      </c>
      <c r="AI220" s="57">
        <f t="shared" si="820" ref="AI220">AVERAGE(AH219,AI219)</f>
        <v>47007</v>
      </c>
      <c r="AJ220" s="57">
        <f t="shared" si="821" ref="AJ220">AVERAGE(AI219,AJ219)</f>
        <v>48087.50</v>
      </c>
      <c r="AK220" s="999">
        <f>SUM(AG220*AG$3,AH220*AH$3,AI220*AI$3,AJ220*AJ$3)/SUM(AG$3,AH$3,AI$3,AJ$3)</f>
        <v>46224.768493150688</v>
      </c>
      <c r="AL220" s="57">
        <f t="shared" si="822" ref="AL220">AVERAGE(AK219,AL219)</f>
        <v>46801</v>
      </c>
      <c r="AM220" s="57">
        <f>AVERAGE(AL219,AM219)</f>
        <v>46679.50</v>
      </c>
      <c r="AN220" s="57">
        <f>AVERAGE(AM219,AN219)</f>
        <v>49007</v>
      </c>
      <c r="AO220" s="57">
        <f t="shared" si="823" ref="AO220">AVERAGE(AN219,AO219)</f>
        <v>49988.50</v>
      </c>
      <c r="AP220" s="999">
        <f>SUM(AL220*AL$3,AM220*AM$3,AN220*AN$3,AO220*AO$3)/SUM(AL$3,AM$3,AN$3,AO$3)</f>
        <v>48126.534153005465</v>
      </c>
      <c r="AQ220" s="57">
        <f>AVERAGE(AP219,AQ219)</f>
        <v>50959.50</v>
      </c>
      <c r="AR220" s="57">
        <f>AVERAGE(AQ219,AR219)</f>
        <v>52876</v>
      </c>
      <c r="AS220" s="57">
        <f>AVERAGE(AR219,AS219)</f>
        <v>54131</v>
      </c>
      <c r="AT220" s="57">
        <f>AVERAGE(AS219,AT219)</f>
        <v>55776.50</v>
      </c>
      <c r="AU220" s="999">
        <f>SUM(AQ220*AQ$3,AR220*AR$3,AS220*AS$3,AT220*AT$3)/SUM(AQ$3,AR$3,AS$3,AT$3)</f>
        <v>53450.852054794523</v>
      </c>
      <c r="AV220" s="57">
        <f>AVERAGE(AU219,AV219)</f>
        <v>55015.50</v>
      </c>
      <c r="AW220" s="57">
        <f>AVERAGE(AV219,AW219)</f>
        <v>52434</v>
      </c>
      <c r="AX220" s="57">
        <f>AVERAGE(AW219,AX219)</f>
        <v>52376</v>
      </c>
      <c r="AY220" s="57">
        <f>AVERAGE(AX219,AY219)</f>
        <v>53334</v>
      </c>
      <c r="AZ220" s="999">
        <f>SUM(AV220*AV$3,AW220*AW$3,AX220*AX$3,AY220*AY$3)/SUM(AV$3,AW$3,AX$3,AY$3)</f>
        <v>53282.764383561647</v>
      </c>
      <c r="BA220" s="57">
        <f>AVERAGE(AZ219,BA219)</f>
        <v>54661.50</v>
      </c>
      <c r="BB220" s="57">
        <f>AVERAGE(BA219,BB219)</f>
        <v>55869</v>
      </c>
      <c r="BC220" s="57">
        <f>AVERAGE(BB219,BC219)</f>
        <v>56481</v>
      </c>
      <c r="BD220" s="57">
        <f>AVERAGE(BC219,BD219)</f>
        <v>58038</v>
      </c>
      <c r="BE220" s="999">
        <f>SUM(BA220*BA$3,BB220*BB$3,BC220*BC$3,BD220*BD$3)/SUM(BA$3,BB$3,BC$3,BD$3)</f>
        <v>56272.224657534243</v>
      </c>
      <c r="BF220" s="57">
        <f>AVERAGE(BE219,BF219)</f>
        <v>60263.50</v>
      </c>
      <c r="BG220" s="57">
        <f>AVERAGE(BF219,BG219)</f>
        <v>62345</v>
      </c>
      <c r="BH220" s="745">
        <f>AVERAGE(BG219,BH219)</f>
        <v>65981</v>
      </c>
      <c r="BI220" s="128">
        <f>AVERAGE(BH219,BI219)</f>
        <v>62708.699999999997</v>
      </c>
      <c r="BJ220" s="1000">
        <f>SUM(BF220*BF$3,BG220*BG$3,BH220*BH$3,BI220*BI$3)/SUM(BF$3,BG$3,BH$3,BI$3)</f>
        <v>62832.857650273218</v>
      </c>
      <c r="BK220" s="128">
        <f>AVERAGE(BJ219,BK219)</f>
        <v>59377.635000000002</v>
      </c>
      <c r="BL220" s="128">
        <f>AVERAGE(BK219,BL219)</f>
        <v>61057.360000000001</v>
      </c>
      <c r="BM220" s="128">
        <f>AVERAGE(BL219,BM219)</f>
        <v>63364.539999999994</v>
      </c>
      <c r="BN220" s="128">
        <f>AVERAGE(BM219,BN219)</f>
        <v>60541.646999999997</v>
      </c>
      <c r="BO220" s="1000">
        <f>SUM(BK220*BK$3,BL220*BL$3,BM220*BM$3,BN220*BN$3)/SUM(BK$3,BL$3,BM$3,BN$3)</f>
        <v>61094.729079452052</v>
      </c>
      <c r="BP220" s="1000">
        <f>AVERAGE(BO219,BP219)</f>
        <v>55146.424319999998</v>
      </c>
      <c r="BQ220" s="1000">
        <f>AVERAGE(BP219,BQ219)</f>
        <v>55697.888563200002</v>
      </c>
      <c r="BR220" s="1000">
        <f>AVERAGE(BQ219,BR219)</f>
        <v>56254.867448831996</v>
      </c>
      <c r="BS220" s="158"/>
    </row>
    <row r="221" spans="1:71" s="25" customFormat="1" ht="15">
      <c r="A221" s="42" t="s">
        <v>606</v>
      </c>
      <c r="B221" s="496"/>
      <c r="C221" s="1016"/>
      <c r="D221" s="1016"/>
      <c r="E221" s="1016"/>
      <c r="F221" s="1016"/>
      <c r="G221" s="1016"/>
      <c r="H221" s="393"/>
      <c r="I221" s="393"/>
      <c r="J221" s="393"/>
      <c r="K221" s="393"/>
      <c r="L221" s="1016"/>
      <c r="M221" s="393"/>
      <c r="N221" s="393"/>
      <c r="O221" s="393"/>
      <c r="P221" s="393"/>
      <c r="Q221" s="1016"/>
      <c r="R221" s="393"/>
      <c r="S221" s="393"/>
      <c r="T221" s="393"/>
      <c r="U221" s="393"/>
      <c r="V221" s="1016"/>
      <c r="W221" s="393"/>
      <c r="X221" s="393"/>
      <c r="Y221" s="393"/>
      <c r="Z221" s="393"/>
      <c r="AA221" s="1016"/>
      <c r="AB221" s="650"/>
      <c r="AC221" s="650"/>
      <c r="AD221" s="650"/>
      <c r="AE221" s="650"/>
      <c r="AF221" s="1033">
        <f t="shared" si="824" ref="AF221">AF219/AA219-1</f>
        <v>0.01044392469258737</v>
      </c>
      <c r="AG221" s="649">
        <f t="shared" si="825" ref="AG221">AG219/AB219-1</f>
        <v>0.055420778670183912</v>
      </c>
      <c r="AH221" s="649">
        <f t="shared" si="826" ref="AH221">AH219/AC219-1</f>
        <v>0.069656113410883291</v>
      </c>
      <c r="AI221" s="649">
        <f t="shared" si="827" ref="AI221">AI219/AD219-1</f>
        <v>0.085575961451040961</v>
      </c>
      <c r="AJ221" s="649">
        <f t="shared" si="828" ref="AJ221">AJ219/AE219-1</f>
        <v>0.10954760049502688</v>
      </c>
      <c r="AK221" s="1033">
        <f t="shared" si="829" ref="AK221">AK219/AF219-1</f>
        <v>0.10954760049502688</v>
      </c>
      <c r="AL221" s="649">
        <f t="shared" si="830" ref="AL221">AL219/AG219-1</f>
        <v>0.0084356170497656979</v>
      </c>
      <c r="AM221" s="649">
        <f>AM219/AH219-1</f>
        <v>0.041467580481266086</v>
      </c>
      <c r="AN221" s="649">
        <f>AN219/AI219-1</f>
        <v>0.043592052092711553</v>
      </c>
      <c r="AO221" s="649">
        <f t="shared" si="831" ref="AO221:AP221">AO219/AJ219-1</f>
        <v>0.035526913702647933</v>
      </c>
      <c r="AP221" s="1033">
        <f t="shared" si="831"/>
        <v>0.035526913702647933</v>
      </c>
      <c r="AQ221" s="649">
        <f t="shared" si="832" ref="AQ221:AV221">AQ219/AL219-1</f>
        <v>0.14599008586350348</v>
      </c>
      <c r="AR221" s="649">
        <f t="shared" si="832"/>
        <v>0.12032135517219911</v>
      </c>
      <c r="AS221" s="649">
        <f t="shared" si="832"/>
        <v>0.089320466264069198</v>
      </c>
      <c r="AT221" s="649">
        <f t="shared" si="832"/>
        <v>0.1420991742131088</v>
      </c>
      <c r="AU221" s="1033">
        <f t="shared" si="832"/>
        <v>0.1420991742131088</v>
      </c>
      <c r="AV221" s="649">
        <f t="shared" si="832"/>
        <v>0.019078883846673778</v>
      </c>
      <c r="AW221" s="649">
        <f t="shared" si="833" ref="AW221:BB221">AW219/AR219-1</f>
        <v>-0.034687864806270508</v>
      </c>
      <c r="AX221" s="649">
        <f t="shared" si="833"/>
        <v>-0.03016852380513857</v>
      </c>
      <c r="AY221" s="649">
        <f t="shared" si="833"/>
        <v>-0.056708232910684941</v>
      </c>
      <c r="AZ221" s="1033">
        <f t="shared" si="833"/>
        <v>-0.056708232910684941</v>
      </c>
      <c r="BA221" s="649">
        <f t="shared" si="833"/>
        <v>0.048111723798154316</v>
      </c>
      <c r="BB221" s="649">
        <f t="shared" si="833"/>
        <v>0.083136577406660805</v>
      </c>
      <c r="BC221" s="649">
        <f t="shared" si="834" ref="BC221:BH221">BC219/AX219-1</f>
        <v>0.073665419602332083</v>
      </c>
      <c r="BD221" s="649">
        <f t="shared" si="834"/>
        <v>0.10236803614078616</v>
      </c>
      <c r="BE221" s="1033">
        <f t="shared" si="834"/>
        <v>0.10236803614078616</v>
      </c>
      <c r="BF221" s="649">
        <f t="shared" si="834"/>
        <v>0.10259979751229387</v>
      </c>
      <c r="BG221" s="649">
        <f t="shared" si="834"/>
        <v>0.12896537057384894</v>
      </c>
      <c r="BH221" s="753">
        <f t="shared" si="834"/>
        <v>0.20735460591481525</v>
      </c>
      <c r="BI221" s="925">
        <v>-0.04</v>
      </c>
      <c r="BJ221" s="1025">
        <f>BJ219/BE219-1</f>
        <v>-0.039999999999999925</v>
      </c>
      <c r="BK221" s="925">
        <v>0.01</v>
      </c>
      <c r="BL221" s="925">
        <v>-0.05</v>
      </c>
      <c r="BM221" s="925">
        <v>-0.03</v>
      </c>
      <c r="BN221" s="925">
        <v>-0.04</v>
      </c>
      <c r="BO221" s="1025">
        <f>BO219/BJ219-1</f>
        <v>-0.040000000000000036</v>
      </c>
      <c r="BP221" s="1034">
        <v>0.010000000000000009</v>
      </c>
      <c r="BQ221" s="1034">
        <v>0.010000000000000009</v>
      </c>
      <c r="BR221" s="1034">
        <v>0.010000000000000009</v>
      </c>
      <c r="BS221" s="158"/>
    </row>
    <row r="222" spans="1:71" s="25" customFormat="1" ht="15">
      <c r="A222" s="220"/>
      <c r="B222" s="496"/>
      <c r="C222" s="1016"/>
      <c r="D222" s="1016"/>
      <c r="E222" s="1016"/>
      <c r="F222" s="1016"/>
      <c r="G222" s="1016"/>
      <c r="H222" s="393"/>
      <c r="I222" s="393"/>
      <c r="J222" s="393"/>
      <c r="K222" s="393"/>
      <c r="L222" s="1016"/>
      <c r="M222" s="393"/>
      <c r="N222" s="393"/>
      <c r="O222" s="393"/>
      <c r="P222" s="393"/>
      <c r="Q222" s="1016"/>
      <c r="R222" s="393"/>
      <c r="S222" s="393"/>
      <c r="T222" s="393"/>
      <c r="U222" s="393"/>
      <c r="V222" s="1016"/>
      <c r="W222" s="393"/>
      <c r="X222" s="393"/>
      <c r="Y222" s="393"/>
      <c r="Z222" s="393"/>
      <c r="AA222" s="1016"/>
      <c r="AB222" s="393"/>
      <c r="AC222" s="393"/>
      <c r="AD222" s="393"/>
      <c r="AE222" s="393"/>
      <c r="AF222" s="1016"/>
      <c r="AG222" s="393"/>
      <c r="AH222" s="393"/>
      <c r="AI222" s="393"/>
      <c r="AJ222" s="393"/>
      <c r="AK222" s="1016"/>
      <c r="AL222" s="393"/>
      <c r="AM222" s="393"/>
      <c r="AN222" s="393"/>
      <c r="AO222" s="393"/>
      <c r="AP222" s="1016"/>
      <c r="AQ222" s="393"/>
      <c r="AR222" s="393"/>
      <c r="AS222" s="393"/>
      <c r="AT222" s="393"/>
      <c r="AU222" s="1016"/>
      <c r="AV222" s="393"/>
      <c r="AW222" s="393"/>
      <c r="AX222" s="393"/>
      <c r="AY222" s="393"/>
      <c r="AZ222" s="1016"/>
      <c r="BA222" s="393"/>
      <c r="BB222" s="393"/>
      <c r="BC222" s="393"/>
      <c r="BD222" s="393"/>
      <c r="BE222" s="1016"/>
      <c r="BF222" s="393"/>
      <c r="BG222" s="393"/>
      <c r="BH222" s="751"/>
      <c r="BI222" s="393"/>
      <c r="BJ222" s="1016"/>
      <c r="BK222" s="393"/>
      <c r="BL222" s="393"/>
      <c r="BM222" s="393"/>
      <c r="BN222" s="393"/>
      <c r="BO222" s="1016"/>
      <c r="BP222" s="1016"/>
      <c r="BQ222" s="1016"/>
      <c r="BR222" s="1016"/>
      <c r="BS222" s="158"/>
    </row>
    <row r="223" spans="1:71" s="32" customFormat="1" ht="15">
      <c r="A223" s="220" t="s">
        <v>607</v>
      </c>
      <c r="B223" s="234"/>
      <c r="C223" s="1035"/>
      <c r="D223" s="1035"/>
      <c r="E223" s="1035"/>
      <c r="F223" s="1035"/>
      <c r="G223" s="1035"/>
      <c r="H223" s="221"/>
      <c r="I223" s="221"/>
      <c r="J223" s="221"/>
      <c r="K223" s="221"/>
      <c r="L223" s="1035"/>
      <c r="M223" s="221"/>
      <c r="N223" s="221"/>
      <c r="O223" s="221"/>
      <c r="P223" s="221"/>
      <c r="Q223" s="1035"/>
      <c r="R223" s="221"/>
      <c r="S223" s="221"/>
      <c r="T223" s="221"/>
      <c r="U223" s="221"/>
      <c r="V223" s="1035"/>
      <c r="W223" s="221"/>
      <c r="X223" s="221"/>
      <c r="Y223" s="221"/>
      <c r="Z223" s="221"/>
      <c r="AA223" s="1035"/>
      <c r="AB223" s="54">
        <f>AB194/AB220*(AF$3/AB$3)</f>
        <v>0.031917847319528771</v>
      </c>
      <c r="AC223" s="54">
        <f>AC194/AC220*(AF$3/AC$3)</f>
        <v>0.033043457744150878</v>
      </c>
      <c r="AD223" s="54">
        <f>AD194/AD220*(AF$3/AD$3)</f>
        <v>0.037292213963859566</v>
      </c>
      <c r="AE223" s="54">
        <f>AE194/AE220*(AF$3/AE$3)</f>
        <v>0.032959726915042988</v>
      </c>
      <c r="AF223" s="1036">
        <f>AF194/AF220</f>
        <v>0.033826802290392803</v>
      </c>
      <c r="AG223" s="54">
        <f>AG194/AG220*(AK$3/AG$3)</f>
        <v>0.026687320036784104</v>
      </c>
      <c r="AH223" s="54">
        <f>AH194/AH220*(AK$3/AH$3)</f>
        <v>0.041491622814443276</v>
      </c>
      <c r="AI223" s="54">
        <f>AI194/AI220*(AK$3/AI$3)</f>
        <v>0.037811204806684665</v>
      </c>
      <c r="AJ223" s="54">
        <f>AJ194/AJ220*(AK$3/AJ$3)</f>
        <v>0.026648659034142923</v>
      </c>
      <c r="AK223" s="1036">
        <f>AK194/AK220</f>
        <v>0.03316403845758905</v>
      </c>
      <c r="AL223" s="54">
        <f>AL194/AL220*(AP$3/AL$3)</f>
        <v>0.017359448739120115</v>
      </c>
      <c r="AM223" s="54">
        <f>AM194/AM220*(AP$3/AM$3)</f>
        <v>0.015336755704583123</v>
      </c>
      <c r="AN223" s="54">
        <f>AN194/AN220*(AP$3/AN$3)</f>
        <v>0.034256863039086698</v>
      </c>
      <c r="AO223" s="54">
        <f>AO194/AO220*(AP$3/AO$3)</f>
        <v>0.04926219987118776</v>
      </c>
      <c r="AP223" s="1036">
        <f>AP194/AP220</f>
        <v>0.029526331471996507</v>
      </c>
      <c r="AQ223" s="54">
        <f>AQ194/AQ220*(AU$3/AQ$3)</f>
        <v>0.05355996210498315</v>
      </c>
      <c r="AR223" s="54">
        <f>AR194/AR220*(AU$3/AR$3)</f>
        <v>0.070622414124191873</v>
      </c>
      <c r="AS223" s="54">
        <f>AS194/AS220*(AU$3/AS$3)</f>
        <v>0.05203760924584723</v>
      </c>
      <c r="AT223" s="54">
        <f>AT194/AT220*(AU$3/AT$3)</f>
        <v>0.057188647704600547</v>
      </c>
      <c r="AU223" s="1036">
        <f>AU194/AU220</f>
        <v>0.058333962512021664</v>
      </c>
      <c r="AV223" s="54">
        <f>AV194/AV220*(AZ$3/AV$3)</f>
        <v>0.041133862275176993</v>
      </c>
      <c r="AW223" s="54">
        <f>AW194/AW220*(AZ$3/AW$3)</f>
        <v>0.038706954257932628</v>
      </c>
      <c r="AX223" s="54">
        <f>AX194/AX220*(AZ$3/AX$3)</f>
        <v>0.047872905612261846</v>
      </c>
      <c r="AY223" s="54">
        <f>AY194/AY220*(AZ$3/AY$3)</f>
        <v>0.036747502612739083</v>
      </c>
      <c r="AZ223" s="1036">
        <f>AZ194/AZ220</f>
        <v>0.041101471091759656</v>
      </c>
      <c r="BA223" s="54">
        <f>BA194/BA220*(BE$3/BA$3)</f>
        <v>0.037764748091028928</v>
      </c>
      <c r="BB223" s="54">
        <f>BB194/BB220*(BE$3/BB$3)</f>
        <v>0.039055254648875437</v>
      </c>
      <c r="BC223" s="54">
        <f>BC194/BC220*(BE$3/BC$3)</f>
        <v>0.044042321273102224</v>
      </c>
      <c r="BD223" s="54">
        <f>BD194/BD220*(BE$3/BD$3)</f>
        <v>0.036776879315950417</v>
      </c>
      <c r="BE223" s="1036">
        <f>BE194/BE220</f>
        <v>0.039415537834135261</v>
      </c>
      <c r="BF223" s="54">
        <f>BF194/BF220*(BJ$3/BF$3)</f>
        <v>0.046851387181769587</v>
      </c>
      <c r="BG223" s="54">
        <f>BG194/BG220*(BJ$3/BG$3)</f>
        <v>0.041480982727273526</v>
      </c>
      <c r="BH223" s="754">
        <f>BH194/BH220*(BJ$3/BH$3)</f>
        <v>0.042688178349103136</v>
      </c>
      <c r="BI223" s="927">
        <v>0.037999999999999999</v>
      </c>
      <c r="BJ223" s="1035">
        <f>BJ194/BJ220</f>
        <v>0.042207025413885491</v>
      </c>
      <c r="BK223" s="927">
        <v>0.037999999999999999</v>
      </c>
      <c r="BL223" s="927">
        <v>0.037999999999999999</v>
      </c>
      <c r="BM223" s="927">
        <v>0.037999999999999999</v>
      </c>
      <c r="BN223" s="927">
        <v>0.037999999999999999</v>
      </c>
      <c r="BO223" s="1035">
        <f>BO194/BO220</f>
        <v>0.038000000000000006</v>
      </c>
      <c r="BP223" s="1037">
        <v>0.037999999999999999</v>
      </c>
      <c r="BQ223" s="1037">
        <v>0.037999999999999999</v>
      </c>
      <c r="BR223" s="1037">
        <v>0.037999999999999999</v>
      </c>
      <c r="BS223" s="54"/>
    </row>
    <row r="224" spans="1:71" s="25" customFormat="1" ht="15">
      <c r="A224" s="479"/>
      <c r="B224" s="496"/>
      <c r="C224" s="1016"/>
      <c r="D224" s="1016"/>
      <c r="E224" s="1016"/>
      <c r="F224" s="1016"/>
      <c r="G224" s="1016"/>
      <c r="H224" s="393"/>
      <c r="I224" s="393"/>
      <c r="J224" s="393"/>
      <c r="K224" s="393"/>
      <c r="L224" s="1016"/>
      <c r="M224" s="393"/>
      <c r="N224" s="393"/>
      <c r="O224" s="393"/>
      <c r="P224" s="393"/>
      <c r="Q224" s="1016"/>
      <c r="R224" s="393"/>
      <c r="S224" s="393"/>
      <c r="T224" s="393"/>
      <c r="U224" s="393"/>
      <c r="V224" s="1016"/>
      <c r="W224" s="393"/>
      <c r="X224" s="393"/>
      <c r="Y224" s="393"/>
      <c r="Z224" s="393"/>
      <c r="AA224" s="1016"/>
      <c r="AB224" s="393"/>
      <c r="AC224" s="393"/>
      <c r="AD224" s="393"/>
      <c r="AE224" s="393"/>
      <c r="AF224" s="1016"/>
      <c r="AG224" s="393"/>
      <c r="AH224" s="393"/>
      <c r="AI224" s="393"/>
      <c r="AJ224" s="393"/>
      <c r="AK224" s="1016"/>
      <c r="AL224" s="393"/>
      <c r="AM224" s="393"/>
      <c r="AN224" s="393"/>
      <c r="AO224" s="393"/>
      <c r="AP224" s="1016"/>
      <c r="AQ224" s="393"/>
      <c r="AR224" s="393"/>
      <c r="AS224" s="393"/>
      <c r="AT224" s="393"/>
      <c r="AU224" s="1016"/>
      <c r="AV224" s="393"/>
      <c r="AW224" s="393"/>
      <c r="AX224" s="393"/>
      <c r="AY224" s="393"/>
      <c r="AZ224" s="1016"/>
      <c r="BA224" s="393"/>
      <c r="BB224" s="393"/>
      <c r="BC224" s="393"/>
      <c r="BD224" s="393"/>
      <c r="BE224" s="1016"/>
      <c r="BF224" s="393"/>
      <c r="BG224" s="393"/>
      <c r="BH224" s="751"/>
      <c r="BI224" s="393"/>
      <c r="BJ224" s="1016"/>
      <c r="BK224" s="393"/>
      <c r="BL224" s="393"/>
      <c r="BM224" s="393"/>
      <c r="BN224" s="393"/>
      <c r="BO224" s="1016"/>
      <c r="BP224" s="1016"/>
      <c r="BQ224" s="1016"/>
      <c r="BR224" s="1016"/>
      <c r="BS224" s="158"/>
    </row>
    <row r="225" spans="1:71" s="17" customFormat="1" ht="15">
      <c r="A225" s="818" t="s">
        <v>674</v>
      </c>
      <c r="B225" s="818"/>
      <c r="C225" s="837"/>
      <c r="D225" s="837"/>
      <c r="E225" s="837"/>
      <c r="F225" s="837"/>
      <c r="G225" s="837"/>
      <c r="H225" s="837"/>
      <c r="I225" s="837"/>
      <c r="J225" s="837"/>
      <c r="K225" s="837"/>
      <c r="L225" s="837"/>
      <c r="M225" s="837"/>
      <c r="N225" s="837"/>
      <c r="O225" s="837"/>
      <c r="P225" s="837"/>
      <c r="Q225" s="837"/>
      <c r="R225" s="837"/>
      <c r="S225" s="837"/>
      <c r="T225" s="837"/>
      <c r="U225" s="837"/>
      <c r="V225" s="837"/>
      <c r="W225" s="837"/>
      <c r="X225" s="837"/>
      <c r="Y225" s="837"/>
      <c r="Z225" s="837"/>
      <c r="AA225" s="837"/>
      <c r="AB225" s="837"/>
      <c r="AC225" s="837"/>
      <c r="AD225" s="837"/>
      <c r="AE225" s="837"/>
      <c r="AF225" s="837"/>
      <c r="AG225" s="837"/>
      <c r="AH225" s="837"/>
      <c r="AI225" s="837"/>
      <c r="AJ225" s="837"/>
      <c r="AK225" s="837"/>
      <c r="AL225" s="837"/>
      <c r="AM225" s="837"/>
      <c r="AN225" s="837"/>
      <c r="AO225" s="837"/>
      <c r="AP225" s="837"/>
      <c r="AQ225" s="837"/>
      <c r="AR225" s="837"/>
      <c r="AS225" s="837"/>
      <c r="AT225" s="837"/>
      <c r="AU225" s="837"/>
      <c r="AV225" s="837"/>
      <c r="AW225" s="837"/>
      <c r="AX225" s="837"/>
      <c r="AY225" s="837"/>
      <c r="AZ225" s="837"/>
      <c r="BA225" s="837"/>
      <c r="BB225" s="837"/>
      <c r="BC225" s="837"/>
      <c r="BD225" s="837"/>
      <c r="BE225" s="837"/>
      <c r="BF225" s="837"/>
      <c r="BG225" s="837"/>
      <c r="BH225" s="838"/>
      <c r="BI225" s="837"/>
      <c r="BJ225" s="837"/>
      <c r="BK225" s="837"/>
      <c r="BL225" s="837"/>
      <c r="BM225" s="837"/>
      <c r="BN225" s="837"/>
      <c r="BO225" s="837"/>
      <c r="BP225" s="837"/>
      <c r="BQ225" s="837"/>
      <c r="BR225" s="837"/>
      <c r="BS225" s="457"/>
    </row>
    <row r="226" spans="1:71" s="51" customFormat="1" ht="15">
      <c r="A226" s="109" t="s">
        <v>675</v>
      </c>
      <c r="B226" s="391"/>
      <c r="C226" s="1000"/>
      <c r="D226" s="1000"/>
      <c r="E226" s="1000"/>
      <c r="F226" s="1000"/>
      <c r="G226" s="1000"/>
      <c r="H226" s="128"/>
      <c r="I226" s="128"/>
      <c r="J226" s="128"/>
      <c r="K226" s="128"/>
      <c r="L226" s="1000"/>
      <c r="M226" s="128"/>
      <c r="N226" s="128"/>
      <c r="O226" s="128"/>
      <c r="P226" s="128"/>
      <c r="Q226" s="1000"/>
      <c r="R226" s="128"/>
      <c r="S226" s="128"/>
      <c r="T226" s="128"/>
      <c r="U226" s="128"/>
      <c r="V226" s="1031">
        <v>709</v>
      </c>
      <c r="W226" s="922">
        <v>254</v>
      </c>
      <c r="X226" s="922">
        <v>259</v>
      </c>
      <c r="Y226" s="922">
        <v>272</v>
      </c>
      <c r="Z226" s="57">
        <f>AA226-SUM(W226,X226,Y226)</f>
        <v>309</v>
      </c>
      <c r="AA226" s="1031">
        <v>1094</v>
      </c>
      <c r="AB226" s="922">
        <v>287</v>
      </c>
      <c r="AC226" s="922">
        <v>297</v>
      </c>
      <c r="AD226" s="922">
        <v>358</v>
      </c>
      <c r="AE226" s="57">
        <f>AF226-SUM(AB226,AC226,AD226)</f>
        <v>489</v>
      </c>
      <c r="AF226" s="1031">
        <v>1431</v>
      </c>
      <c r="AG226" s="922">
        <v>368</v>
      </c>
      <c r="AH226" s="922">
        <v>350</v>
      </c>
      <c r="AI226" s="922">
        <v>364</v>
      </c>
      <c r="AJ226" s="57">
        <f>AK226-SUM(AG226,AH226,AI226)</f>
        <v>453</v>
      </c>
      <c r="AK226" s="1031">
        <v>1535</v>
      </c>
      <c r="AL226" s="922">
        <v>379</v>
      </c>
      <c r="AM226" s="922">
        <v>467</v>
      </c>
      <c r="AN226" s="922">
        <v>485</v>
      </c>
      <c r="AO226" s="57">
        <f>AP226-SUM(AL226,AM226,AN226)</f>
        <v>559</v>
      </c>
      <c r="AP226" s="1031">
        <v>1890</v>
      </c>
      <c r="AQ226" s="922">
        <v>583</v>
      </c>
      <c r="AR226" s="922">
        <v>692</v>
      </c>
      <c r="AS226" s="922">
        <v>651</v>
      </c>
      <c r="AT226" s="57">
        <f>AU226-SUM(AQ226,AR226,AS226)</f>
        <v>716</v>
      </c>
      <c r="AU226" s="1031">
        <v>2642</v>
      </c>
      <c r="AV226" s="922">
        <v>630</v>
      </c>
      <c r="AW226" s="922">
        <v>670</v>
      </c>
      <c r="AX226" s="922">
        <v>657</v>
      </c>
      <c r="AY226" s="57">
        <f>AZ226-SUM(AV226,AW226,AX226)</f>
        <v>742</v>
      </c>
      <c r="AZ226" s="1031">
        <v>2699</v>
      </c>
      <c r="BA226" s="922">
        <v>619</v>
      </c>
      <c r="BB226" s="922">
        <v>658</v>
      </c>
      <c r="BC226" s="922">
        <v>658</v>
      </c>
      <c r="BD226" s="57">
        <f>BE226-SUM(BA226,BB226,BC226)</f>
        <v>728</v>
      </c>
      <c r="BE226" s="1031">
        <v>2663</v>
      </c>
      <c r="BF226" s="922">
        <v>627</v>
      </c>
      <c r="BG226" s="922">
        <v>676</v>
      </c>
      <c r="BH226" s="924">
        <v>678</v>
      </c>
      <c r="BI226" s="128">
        <f>BD226*(1+BI227)</f>
        <v>764.40</v>
      </c>
      <c r="BJ226" s="1000">
        <f>SUM(BF226,BG226,BH226,BI226)</f>
        <v>2745.40</v>
      </c>
      <c r="BK226" s="128">
        <f>BF226*(1+BK227)</f>
        <v>658.35</v>
      </c>
      <c r="BL226" s="128">
        <f>BG226*(1+BL227)</f>
        <v>709.80</v>
      </c>
      <c r="BM226" s="128">
        <f>BH226*(1+BM227)</f>
        <v>711.90</v>
      </c>
      <c r="BN226" s="128">
        <f>BI226*(1+BN227)</f>
        <v>802.62</v>
      </c>
      <c r="BO226" s="1000">
        <f>SUM(BK226,BL226,BM226,BN226)</f>
        <v>2882.67</v>
      </c>
      <c r="BP226" s="1000">
        <f>BO226*(1+BP227)</f>
        <v>3026.8035</v>
      </c>
      <c r="BQ226" s="1000">
        <f>BP226*(1+BQ227)</f>
        <v>3178.1436750000003</v>
      </c>
      <c r="BR226" s="1000">
        <f>BQ226*(1+BR227)</f>
        <v>3337.0508587500003</v>
      </c>
      <c r="BS226" s="57"/>
    </row>
    <row r="227" spans="1:71" s="29" customFormat="1" ht="15">
      <c r="A227" s="42" t="s">
        <v>676</v>
      </c>
      <c r="B227" s="232"/>
      <c r="C227" s="1025"/>
      <c r="D227" s="1025"/>
      <c r="E227" s="1025"/>
      <c r="F227" s="1025"/>
      <c r="G227" s="1025"/>
      <c r="H227" s="650"/>
      <c r="I227" s="650"/>
      <c r="J227" s="650"/>
      <c r="K227" s="650"/>
      <c r="L227" s="1025"/>
      <c r="M227" s="650"/>
      <c r="N227" s="650"/>
      <c r="O227" s="650"/>
      <c r="P227" s="650"/>
      <c r="Q227" s="1025"/>
      <c r="R227" s="650"/>
      <c r="S227" s="650"/>
      <c r="T227" s="650"/>
      <c r="U227" s="650"/>
      <c r="V227" s="1025"/>
      <c r="W227" s="650"/>
      <c r="X227" s="650"/>
      <c r="Y227" s="650"/>
      <c r="Z227" s="650"/>
      <c r="AA227" s="1033">
        <f t="shared" si="835" ref="AA227:AK227">AA226/V226-1</f>
        <v>0.5430183356840621</v>
      </c>
      <c r="AB227" s="649">
        <f t="shared" si="835"/>
        <v>0.12992125984251968</v>
      </c>
      <c r="AC227" s="649">
        <f t="shared" si="835"/>
        <v>0.14671814671814665</v>
      </c>
      <c r="AD227" s="649">
        <f t="shared" si="835"/>
        <v>0.31617647058823528</v>
      </c>
      <c r="AE227" s="649">
        <f t="shared" si="835"/>
        <v>0.58252427184466016</v>
      </c>
      <c r="AF227" s="1033">
        <f t="shared" si="835"/>
        <v>0.30804387568555769</v>
      </c>
      <c r="AG227" s="649">
        <f t="shared" si="835"/>
        <v>0.28222996515679433</v>
      </c>
      <c r="AH227" s="649">
        <f t="shared" si="835"/>
        <v>0.17845117845117842</v>
      </c>
      <c r="AI227" s="649">
        <f t="shared" si="835"/>
        <v>0.016759776536312776</v>
      </c>
      <c r="AJ227" s="649">
        <f t="shared" si="835"/>
        <v>-0.07361963190184051</v>
      </c>
      <c r="AK227" s="1033">
        <f t="shared" si="835"/>
        <v>0.07267645003494061</v>
      </c>
      <c r="AL227" s="649">
        <f>AL226/AG226-1</f>
        <v>0.029891304347826164</v>
      </c>
      <c r="AM227" s="649">
        <f>AM226/AH226-1</f>
        <v>0.3342857142857143</v>
      </c>
      <c r="AN227" s="649">
        <f>AN226/AI226-1</f>
        <v>0.33241758241758235</v>
      </c>
      <c r="AO227" s="649">
        <f t="shared" si="836" ref="AO227:AP227">AO226/AJ226-1</f>
        <v>0.23399558498896256</v>
      </c>
      <c r="AP227" s="1033">
        <f t="shared" si="836"/>
        <v>0.23127035830618903</v>
      </c>
      <c r="AQ227" s="649">
        <f t="shared" si="837" ref="AQ227:AV227">AQ226/AL226-1</f>
        <v>0.53825857519788922</v>
      </c>
      <c r="AR227" s="649">
        <f t="shared" si="837"/>
        <v>0.48179871520342621</v>
      </c>
      <c r="AS227" s="649">
        <f t="shared" si="837"/>
        <v>0.3422680412371133</v>
      </c>
      <c r="AT227" s="649">
        <f t="shared" si="837"/>
        <v>0.28085867620751337</v>
      </c>
      <c r="AU227" s="1033">
        <f t="shared" si="837"/>
        <v>0.39788359788359795</v>
      </c>
      <c r="AV227" s="649">
        <f t="shared" si="837"/>
        <v>0.080617495711835296</v>
      </c>
      <c r="AW227" s="649">
        <f t="shared" si="838" ref="AW227:BB227">AW226/AR226-1</f>
        <v>-0.031791907514450823</v>
      </c>
      <c r="AX227" s="649">
        <f t="shared" si="838"/>
        <v>0.0092165898617511122</v>
      </c>
      <c r="AY227" s="649">
        <f t="shared" si="838"/>
        <v>0.036312849162011274</v>
      </c>
      <c r="AZ227" s="1033">
        <f t="shared" si="838"/>
        <v>0.021574564723694234</v>
      </c>
      <c r="BA227" s="649">
        <f t="shared" si="838"/>
        <v>-0.017460317460317509</v>
      </c>
      <c r="BB227" s="649">
        <f t="shared" si="838"/>
        <v>-0.017910447761193993</v>
      </c>
      <c r="BC227" s="649">
        <f t="shared" si="839" ref="BC227:BH227">BC226/AX226-1</f>
        <v>0.0015220700152207556</v>
      </c>
      <c r="BD227" s="649">
        <f t="shared" si="839"/>
        <v>-0.018867924528301883</v>
      </c>
      <c r="BE227" s="1033">
        <f t="shared" si="839"/>
        <v>-0.013338273434605363</v>
      </c>
      <c r="BF227" s="649">
        <f t="shared" si="839"/>
        <v>0.01292407108239102</v>
      </c>
      <c r="BG227" s="649">
        <f t="shared" si="839"/>
        <v>0.027355623100304038</v>
      </c>
      <c r="BH227" s="753">
        <f t="shared" si="839"/>
        <v>0.03039513677811545</v>
      </c>
      <c r="BI227" s="925">
        <v>0.05</v>
      </c>
      <c r="BJ227" s="1025">
        <f>BJ226/BE226-1</f>
        <v>0.030942546000751081</v>
      </c>
      <c r="BK227" s="925">
        <v>0.05</v>
      </c>
      <c r="BL227" s="925">
        <v>0.05</v>
      </c>
      <c r="BM227" s="925">
        <v>0.05</v>
      </c>
      <c r="BN227" s="925">
        <v>0.05</v>
      </c>
      <c r="BO227" s="1025">
        <f>BO226/BJ226-1</f>
        <v>0.050000000000000044</v>
      </c>
      <c r="BP227" s="1034">
        <v>0.05</v>
      </c>
      <c r="BQ227" s="1034">
        <v>0.05</v>
      </c>
      <c r="BR227" s="1034">
        <v>0.05</v>
      </c>
      <c r="BS227" s="649"/>
    </row>
    <row r="228" spans="1:71" s="29" customFormat="1" ht="15">
      <c r="A228" s="42" t="s">
        <v>677</v>
      </c>
      <c r="B228" s="232"/>
      <c r="C228" s="1025"/>
      <c r="D228" s="1025"/>
      <c r="E228" s="1025"/>
      <c r="F228" s="1025"/>
      <c r="G228" s="1025"/>
      <c r="H228" s="650"/>
      <c r="I228" s="650"/>
      <c r="J228" s="650"/>
      <c r="K228" s="650"/>
      <c r="L228" s="1025"/>
      <c r="M228" s="650"/>
      <c r="N228" s="650"/>
      <c r="O228" s="650"/>
      <c r="P228" s="650"/>
      <c r="Q228" s="1025"/>
      <c r="R228" s="650"/>
      <c r="S228" s="650"/>
      <c r="T228" s="650"/>
      <c r="U228" s="650"/>
      <c r="V228" s="1033">
        <f t="shared" si="840" ref="V228:AK228">V230/V226</f>
        <v>0.81805359661495058</v>
      </c>
      <c r="W228" s="649">
        <f t="shared" si="840"/>
        <v>0.78740157480314965</v>
      </c>
      <c r="X228" s="649">
        <f t="shared" si="840"/>
        <v>0.81467181467181471</v>
      </c>
      <c r="Y228" s="649">
        <f t="shared" si="840"/>
        <v>0.82720588235294112</v>
      </c>
      <c r="Z228" s="649">
        <f t="shared" si="840"/>
        <v>0.74757281553398058</v>
      </c>
      <c r="AA228" s="1033">
        <f t="shared" si="840"/>
        <v>0.7925045703839122</v>
      </c>
      <c r="AB228" s="649">
        <f t="shared" si="840"/>
        <v>0.93031358885017423</v>
      </c>
      <c r="AC228" s="649">
        <f t="shared" si="840"/>
        <v>0.91245791245791241</v>
      </c>
      <c r="AD228" s="649">
        <f t="shared" si="840"/>
        <v>0.76815642458100564</v>
      </c>
      <c r="AE228" s="649">
        <f t="shared" si="840"/>
        <v>0.58282208588957052</v>
      </c>
      <c r="AF228" s="1033">
        <f t="shared" si="840"/>
        <v>0.76729559748427678</v>
      </c>
      <c r="AG228" s="649">
        <f t="shared" si="840"/>
        <v>0.80163043478260865</v>
      </c>
      <c r="AH228" s="649">
        <f t="shared" si="840"/>
        <v>0.87142857142857144</v>
      </c>
      <c r="AI228" s="649">
        <f t="shared" si="840"/>
        <v>0.8571428571428571</v>
      </c>
      <c r="AJ228" s="649">
        <f t="shared" si="840"/>
        <v>0.70860927152317876</v>
      </c>
      <c r="AK228" s="1033">
        <f t="shared" si="840"/>
        <v>0.80325732899022806</v>
      </c>
      <c r="AL228" s="649">
        <f>AL230/AL226</f>
        <v>0.93403693931398413</v>
      </c>
      <c r="AM228" s="649">
        <f>AM230/AM226</f>
        <v>0.77087794432548185</v>
      </c>
      <c r="AN228" s="649">
        <f>AN230/AN226</f>
        <v>0.79175257731958759</v>
      </c>
      <c r="AO228" s="649">
        <f t="shared" si="841" ref="AO228:AP228">AO230/AO226</f>
        <v>0.70661896243291589</v>
      </c>
      <c r="AP228" s="1033">
        <f t="shared" si="841"/>
        <v>0.78994708994708995</v>
      </c>
      <c r="AQ228" s="649">
        <f t="shared" si="842" ref="AQ228:AV228">AQ230/AQ226</f>
        <v>0.70497427101200683</v>
      </c>
      <c r="AR228" s="649">
        <f t="shared" si="842"/>
        <v>0.62861271676300579</v>
      </c>
      <c r="AS228" s="649">
        <f t="shared" si="842"/>
        <v>0.70046082949308752</v>
      </c>
      <c r="AT228" s="649">
        <f t="shared" si="842"/>
        <v>0.64525139664804465</v>
      </c>
      <c r="AU228" s="1033">
        <f t="shared" si="842"/>
        <v>0.66767600302800911</v>
      </c>
      <c r="AV228" s="649">
        <f t="shared" si="842"/>
        <v>0.76666666666666672</v>
      </c>
      <c r="AW228" s="649">
        <f t="shared" si="843" ref="AW228:BB228">AW230/AW226</f>
        <v>0.72835820895522385</v>
      </c>
      <c r="AX228" s="649">
        <f t="shared" si="843"/>
        <v>0.76712328767123283</v>
      </c>
      <c r="AY228" s="649">
        <f t="shared" si="843"/>
        <v>0.70080862533692723</v>
      </c>
      <c r="AZ228" s="1033">
        <f t="shared" si="843"/>
        <v>0.73916265283438309</v>
      </c>
      <c r="BA228" s="649">
        <f t="shared" si="843"/>
        <v>0.86914378029079165</v>
      </c>
      <c r="BB228" s="649">
        <f t="shared" si="843"/>
        <v>0.83434650455927051</v>
      </c>
      <c r="BC228" s="649">
        <f t="shared" si="844" ref="BC228:BH228">BC230/BC226</f>
        <v>0.86474164133738607</v>
      </c>
      <c r="BD228" s="649">
        <f t="shared" si="844"/>
        <v>0.80631868131868134</v>
      </c>
      <c r="BE228" s="1033">
        <f t="shared" si="844"/>
        <v>0.84228313931656029</v>
      </c>
      <c r="BF228" s="649">
        <f t="shared" si="844"/>
        <v>0.97607655502392343</v>
      </c>
      <c r="BG228" s="649">
        <f t="shared" si="844"/>
        <v>0.90680473372781067</v>
      </c>
      <c r="BH228" s="753">
        <f t="shared" si="844"/>
        <v>0.94247787610619471</v>
      </c>
      <c r="BI228" s="925">
        <v>0.80</v>
      </c>
      <c r="BJ228" s="1025">
        <f>BJ230/BJ226</f>
        <v>0.9016973847162526</v>
      </c>
      <c r="BK228" s="925">
        <v>0.80</v>
      </c>
      <c r="BL228" s="925">
        <v>0.80</v>
      </c>
      <c r="BM228" s="925">
        <v>0.80</v>
      </c>
      <c r="BN228" s="925">
        <v>0.80</v>
      </c>
      <c r="BO228" s="1025">
        <f>BO230/BO226</f>
        <v>0.80</v>
      </c>
      <c r="BP228" s="1034">
        <v>0.80</v>
      </c>
      <c r="BQ228" s="1034">
        <v>0.80</v>
      </c>
      <c r="BR228" s="1034">
        <v>0.80</v>
      </c>
      <c r="BS228" s="649"/>
    </row>
    <row r="229" spans="1:71" s="300" customFormat="1" ht="15">
      <c r="A229" s="111"/>
      <c r="B229" s="233"/>
      <c r="C229" s="989"/>
      <c r="D229" s="989"/>
      <c r="E229" s="989"/>
      <c r="F229" s="989"/>
      <c r="G229" s="989"/>
      <c r="H229" s="92"/>
      <c r="I229" s="92"/>
      <c r="J229" s="92"/>
      <c r="K229" s="92"/>
      <c r="L229" s="989"/>
      <c r="M229" s="92"/>
      <c r="N229" s="92"/>
      <c r="O229" s="92"/>
      <c r="P229" s="92"/>
      <c r="Q229" s="989"/>
      <c r="R229" s="92"/>
      <c r="S229" s="92"/>
      <c r="T229" s="92"/>
      <c r="U229" s="92"/>
      <c r="V229" s="989"/>
      <c r="W229" s="92"/>
      <c r="X229" s="92"/>
      <c r="Y229" s="92"/>
      <c r="Z229" s="92"/>
      <c r="AA229" s="989"/>
      <c r="AB229" s="92"/>
      <c r="AC229" s="92"/>
      <c r="AD229" s="92"/>
      <c r="AE229" s="92"/>
      <c r="AF229" s="989"/>
      <c r="AG229" s="92"/>
      <c r="AH229" s="92"/>
      <c r="AI229" s="92"/>
      <c r="AJ229" s="92"/>
      <c r="AK229" s="989"/>
      <c r="AL229" s="92"/>
      <c r="AM229" s="92"/>
      <c r="AN229" s="92"/>
      <c r="AO229" s="92"/>
      <c r="AP229" s="989"/>
      <c r="AQ229" s="92"/>
      <c r="AR229" s="92"/>
      <c r="AS229" s="92"/>
      <c r="AT229" s="92"/>
      <c r="AU229" s="989"/>
      <c r="AV229" s="92"/>
      <c r="AW229" s="92"/>
      <c r="AX229" s="92"/>
      <c r="AY229" s="92"/>
      <c r="AZ229" s="989"/>
      <c r="BA229" s="92"/>
      <c r="BB229" s="92"/>
      <c r="BC229" s="92"/>
      <c r="BD229" s="92"/>
      <c r="BE229" s="989"/>
      <c r="BF229" s="92"/>
      <c r="BG229" s="92"/>
      <c r="BH229" s="464"/>
      <c r="BI229" s="92"/>
      <c r="BJ229" s="989"/>
      <c r="BK229" s="92"/>
      <c r="BL229" s="92"/>
      <c r="BM229" s="92"/>
      <c r="BN229" s="92"/>
      <c r="BO229" s="989"/>
      <c r="BP229" s="989"/>
      <c r="BQ229" s="989"/>
      <c r="BR229" s="989"/>
      <c r="BS229" s="305"/>
    </row>
    <row r="230" spans="1:71" s="300" customFormat="1" ht="15">
      <c r="A230" s="304" t="s">
        <v>678</v>
      </c>
      <c r="B230" s="233"/>
      <c r="C230" s="989"/>
      <c r="D230" s="989"/>
      <c r="E230" s="989"/>
      <c r="F230" s="989"/>
      <c r="G230" s="989"/>
      <c r="H230" s="92"/>
      <c r="I230" s="92"/>
      <c r="J230" s="92"/>
      <c r="K230" s="92"/>
      <c r="L230" s="989"/>
      <c r="M230" s="92"/>
      <c r="N230" s="92"/>
      <c r="O230" s="92"/>
      <c r="P230" s="92"/>
      <c r="Q230" s="989"/>
      <c r="R230" s="92"/>
      <c r="S230" s="92"/>
      <c r="T230" s="92"/>
      <c r="U230" s="92"/>
      <c r="V230" s="988">
        <v>580</v>
      </c>
      <c r="W230" s="897">
        <v>200</v>
      </c>
      <c r="X230" s="897">
        <v>211</v>
      </c>
      <c r="Y230" s="897">
        <v>225</v>
      </c>
      <c r="Z230" s="305">
        <f>AA230-SUM(W230,X230,Y230)</f>
        <v>231</v>
      </c>
      <c r="AA230" s="988">
        <v>867</v>
      </c>
      <c r="AB230" s="897">
        <v>267</v>
      </c>
      <c r="AC230" s="897">
        <v>271</v>
      </c>
      <c r="AD230" s="897">
        <v>275</v>
      </c>
      <c r="AE230" s="305">
        <f>AF230-SUM(AB230,AC230,AD230)</f>
        <v>285</v>
      </c>
      <c r="AF230" s="988">
        <v>1098</v>
      </c>
      <c r="AG230" s="897">
        <v>295</v>
      </c>
      <c r="AH230" s="897">
        <v>305</v>
      </c>
      <c r="AI230" s="897">
        <v>312</v>
      </c>
      <c r="AJ230" s="305">
        <f>AK230-SUM(AG230,AH230,AI230)</f>
        <v>321</v>
      </c>
      <c r="AK230" s="988">
        <v>1233</v>
      </c>
      <c r="AL230" s="897">
        <v>354</v>
      </c>
      <c r="AM230" s="897">
        <v>360</v>
      </c>
      <c r="AN230" s="897">
        <v>384</v>
      </c>
      <c r="AO230" s="305">
        <f>AP230-SUM(AL230,AM230,AN230)</f>
        <v>395</v>
      </c>
      <c r="AP230" s="988">
        <v>1493</v>
      </c>
      <c r="AQ230" s="897">
        <v>411</v>
      </c>
      <c r="AR230" s="897">
        <v>435</v>
      </c>
      <c r="AS230" s="897">
        <v>456</v>
      </c>
      <c r="AT230" s="305">
        <f>AU230-SUM(AQ230,AR230,AS230)</f>
        <v>462</v>
      </c>
      <c r="AU230" s="988">
        <v>1764</v>
      </c>
      <c r="AV230" s="897">
        <v>483</v>
      </c>
      <c r="AW230" s="897">
        <v>488</v>
      </c>
      <c r="AX230" s="897">
        <v>504</v>
      </c>
      <c r="AY230" s="305">
        <f>AZ230-SUM(AV230,AW230,AX230)</f>
        <v>520</v>
      </c>
      <c r="AZ230" s="988">
        <v>1995</v>
      </c>
      <c r="BA230" s="897">
        <v>538</v>
      </c>
      <c r="BB230" s="897">
        <v>549</v>
      </c>
      <c r="BC230" s="897">
        <v>569</v>
      </c>
      <c r="BD230" s="305">
        <f>BE230-SUM(BA230,BB230,BC230)</f>
        <v>587</v>
      </c>
      <c r="BE230" s="988">
        <v>2243</v>
      </c>
      <c r="BF230" s="897">
        <v>612</v>
      </c>
      <c r="BG230" s="897">
        <v>613</v>
      </c>
      <c r="BH230" s="898">
        <v>639</v>
      </c>
      <c r="BI230" s="92">
        <f>BI226*BI228</f>
        <v>611.52</v>
      </c>
      <c r="BJ230" s="989">
        <f>SUM(BF230,BG230,BH230,BI230)</f>
        <v>2475.52</v>
      </c>
      <c r="BK230" s="92">
        <f>BK226*BK228</f>
        <v>526.68000000000006</v>
      </c>
      <c r="BL230" s="92">
        <f>BL226*BL228</f>
        <v>567.84</v>
      </c>
      <c r="BM230" s="92">
        <f>BM226*BM228</f>
        <v>569.52</v>
      </c>
      <c r="BN230" s="92">
        <f>BN226*BN228</f>
        <v>642.096</v>
      </c>
      <c r="BO230" s="989">
        <f>SUM(BK230,BL230,BM230,BN230)</f>
        <v>2306.136</v>
      </c>
      <c r="BP230" s="989">
        <f>BP226*BP228</f>
        <v>2421.4428000000003</v>
      </c>
      <c r="BQ230" s="989">
        <f>BQ226*BQ228</f>
        <v>2542.5149400000005</v>
      </c>
      <c r="BR230" s="989">
        <f>BR226*BR228</f>
        <v>2669.6406870000005</v>
      </c>
      <c r="BS230" s="305"/>
    </row>
    <row r="231" spans="1:71" s="300" customFormat="1" ht="15">
      <c r="A231" s="304" t="s">
        <v>679</v>
      </c>
      <c r="B231" s="233"/>
      <c r="C231" s="989"/>
      <c r="D231" s="989"/>
      <c r="E231" s="989"/>
      <c r="F231" s="989"/>
      <c r="G231" s="989"/>
      <c r="H231" s="92"/>
      <c r="I231" s="92"/>
      <c r="J231" s="92"/>
      <c r="K231" s="92"/>
      <c r="L231" s="989"/>
      <c r="M231" s="92"/>
      <c r="N231" s="92"/>
      <c r="O231" s="92"/>
      <c r="P231" s="92"/>
      <c r="Q231" s="989"/>
      <c r="R231" s="92"/>
      <c r="S231" s="92"/>
      <c r="T231" s="92"/>
      <c r="U231" s="92"/>
      <c r="V231" s="989"/>
      <c r="W231" s="897">
        <v>16</v>
      </c>
      <c r="X231" s="897">
        <v>17</v>
      </c>
      <c r="Y231" s="897">
        <v>17</v>
      </c>
      <c r="Z231" s="305">
        <f>AA231-SUM(W231,X231,Y231)</f>
        <v>16</v>
      </c>
      <c r="AA231" s="988">
        <v>66</v>
      </c>
      <c r="AB231" s="897">
        <v>16</v>
      </c>
      <c r="AC231" s="897">
        <v>16</v>
      </c>
      <c r="AD231" s="897">
        <v>16</v>
      </c>
      <c r="AE231" s="305">
        <f>AF231-SUM(AB231,AC231,AD231)</f>
        <v>34</v>
      </c>
      <c r="AF231" s="988">
        <v>82</v>
      </c>
      <c r="AG231" s="897">
        <v>47</v>
      </c>
      <c r="AH231" s="897">
        <v>48</v>
      </c>
      <c r="AI231" s="897">
        <v>47</v>
      </c>
      <c r="AJ231" s="305">
        <f>AK231-SUM(AG231,AH231,AI231)</f>
        <v>46</v>
      </c>
      <c r="AK231" s="988">
        <v>188</v>
      </c>
      <c r="AL231" s="897">
        <v>52</v>
      </c>
      <c r="AM231" s="897">
        <v>51</v>
      </c>
      <c r="AN231" s="897">
        <v>52</v>
      </c>
      <c r="AO231" s="305">
        <f>AP231-SUM(AL231,AM231,AN231)</f>
        <v>53</v>
      </c>
      <c r="AP231" s="988">
        <v>208</v>
      </c>
      <c r="AQ231" s="897">
        <v>90</v>
      </c>
      <c r="AR231" s="897">
        <v>88</v>
      </c>
      <c r="AS231" s="897">
        <v>85</v>
      </c>
      <c r="AT231" s="305">
        <f>AU231-SUM(AQ231,AR231,AS231)</f>
        <v>91</v>
      </c>
      <c r="AU231" s="988">
        <v>354</v>
      </c>
      <c r="AV231" s="897">
        <v>94</v>
      </c>
      <c r="AW231" s="897">
        <v>91</v>
      </c>
      <c r="AX231" s="897">
        <v>84</v>
      </c>
      <c r="AY231" s="305">
        <f>AZ231-SUM(AV231,AW231,AX231)</f>
        <v>78</v>
      </c>
      <c r="AZ231" s="988">
        <v>347</v>
      </c>
      <c r="BA231" s="897">
        <v>84</v>
      </c>
      <c r="BB231" s="897">
        <v>84</v>
      </c>
      <c r="BC231" s="897">
        <v>75</v>
      </c>
      <c r="BD231" s="305">
        <f>BE231-SUM(BA231,BB231,BC231)</f>
        <v>76</v>
      </c>
      <c r="BE231" s="988">
        <v>319</v>
      </c>
      <c r="BF231" s="897">
        <v>85</v>
      </c>
      <c r="BG231" s="897">
        <v>98</v>
      </c>
      <c r="BH231" s="898">
        <v>110</v>
      </c>
      <c r="BI231" s="92">
        <f>BD231*(1+BI252)</f>
        <v>106.39999999999999</v>
      </c>
      <c r="BJ231" s="989">
        <f>SUM(BF231,BG231,BH231,BI231)</f>
        <v>399.40</v>
      </c>
      <c r="BK231" s="92">
        <f t="shared" si="845" ref="BK231:BN232">BF231*(1+BK252)</f>
        <v>89.25</v>
      </c>
      <c r="BL231" s="92">
        <f t="shared" si="845"/>
        <v>102.90000000000001</v>
      </c>
      <c r="BM231" s="92">
        <f t="shared" si="845"/>
        <v>115.50</v>
      </c>
      <c r="BN231" s="92">
        <f t="shared" si="845"/>
        <v>111.72</v>
      </c>
      <c r="BO231" s="989">
        <f>SUM(BK231,BL231,BM231,BN231)</f>
        <v>419.37</v>
      </c>
      <c r="BP231" s="989">
        <f t="shared" si="846" ref="BP231:BR232">BO231*(1+BP252)</f>
        <v>440.33850000000001</v>
      </c>
      <c r="BQ231" s="989">
        <f t="shared" si="846"/>
        <v>462.35542500000003</v>
      </c>
      <c r="BR231" s="989">
        <f t="shared" si="846"/>
        <v>485.47319625000006</v>
      </c>
      <c r="BS231" s="305"/>
    </row>
    <row r="232" spans="1:71" s="300" customFormat="1" ht="15">
      <c r="A232" s="304" t="s">
        <v>680</v>
      </c>
      <c r="B232" s="233"/>
      <c r="C232" s="989"/>
      <c r="D232" s="989"/>
      <c r="E232" s="989"/>
      <c r="F232" s="989"/>
      <c r="G232" s="989"/>
      <c r="H232" s="92"/>
      <c r="I232" s="92"/>
      <c r="J232" s="92"/>
      <c r="K232" s="92"/>
      <c r="L232" s="989"/>
      <c r="M232" s="92"/>
      <c r="N232" s="92"/>
      <c r="O232" s="92"/>
      <c r="P232" s="92"/>
      <c r="Q232" s="989"/>
      <c r="R232" s="92"/>
      <c r="S232" s="92"/>
      <c r="T232" s="92"/>
      <c r="U232" s="92"/>
      <c r="V232" s="988">
        <v>105</v>
      </c>
      <c r="W232" s="897">
        <v>28</v>
      </c>
      <c r="X232" s="897">
        <v>28</v>
      </c>
      <c r="Y232" s="897">
        <v>26</v>
      </c>
      <c r="Z232" s="305">
        <f>AA232-SUM(W232,X232,Y232)</f>
        <v>28</v>
      </c>
      <c r="AA232" s="988">
        <v>110</v>
      </c>
      <c r="AB232" s="897">
        <v>29</v>
      </c>
      <c r="AC232" s="897">
        <v>29</v>
      </c>
      <c r="AD232" s="897">
        <v>31</v>
      </c>
      <c r="AE232" s="305">
        <f>AF232-SUM(AB232,AC232,AD232)</f>
        <v>33</v>
      </c>
      <c r="AF232" s="988">
        <v>122</v>
      </c>
      <c r="AG232" s="897">
        <v>33</v>
      </c>
      <c r="AH232" s="897">
        <v>33</v>
      </c>
      <c r="AI232" s="897">
        <v>44</v>
      </c>
      <c r="AJ232" s="305">
        <f>AK232-SUM(AG232,AH232,AI232)</f>
        <v>44</v>
      </c>
      <c r="AK232" s="988">
        <v>154</v>
      </c>
      <c r="AL232" s="897">
        <v>38</v>
      </c>
      <c r="AM232" s="897">
        <v>35</v>
      </c>
      <c r="AN232" s="897">
        <v>36</v>
      </c>
      <c r="AO232" s="305">
        <f>AP232-SUM(AL232,AM232,AN232)</f>
        <v>38</v>
      </c>
      <c r="AP232" s="988">
        <v>147</v>
      </c>
      <c r="AQ232" s="897">
        <v>41</v>
      </c>
      <c r="AR232" s="897">
        <v>46</v>
      </c>
      <c r="AS232" s="897">
        <v>46</v>
      </c>
      <c r="AT232" s="305">
        <f>AU232-SUM(AQ232,AR232,AS232)</f>
        <v>42</v>
      </c>
      <c r="AU232" s="988">
        <v>175</v>
      </c>
      <c r="AV232" s="897">
        <v>41</v>
      </c>
      <c r="AW232" s="897">
        <v>38</v>
      </c>
      <c r="AX232" s="897">
        <v>39</v>
      </c>
      <c r="AY232" s="305">
        <f>AZ232-SUM(AV232,AW232,AX232)</f>
        <v>31</v>
      </c>
      <c r="AZ232" s="988">
        <v>149</v>
      </c>
      <c r="BA232" s="897">
        <v>33</v>
      </c>
      <c r="BB232" s="897">
        <v>35</v>
      </c>
      <c r="BC232" s="897">
        <v>34</v>
      </c>
      <c r="BD232" s="305">
        <f>BE232-SUM(BA232,BB232,BC232)</f>
        <v>36</v>
      </c>
      <c r="BE232" s="988">
        <v>138</v>
      </c>
      <c r="BF232" s="897">
        <v>35</v>
      </c>
      <c r="BG232" s="897">
        <v>39</v>
      </c>
      <c r="BH232" s="898">
        <v>49</v>
      </c>
      <c r="BI232" s="92">
        <f>BD232*(1+BI253)</f>
        <v>45</v>
      </c>
      <c r="BJ232" s="989">
        <f>SUM(BF232,BG232,BH232,BI232)</f>
        <v>168</v>
      </c>
      <c r="BK232" s="92">
        <f t="shared" si="845"/>
        <v>36.75</v>
      </c>
      <c r="BL232" s="92">
        <f t="shared" si="845"/>
        <v>40.950000000000003</v>
      </c>
      <c r="BM232" s="92">
        <f t="shared" si="845"/>
        <v>51.45</v>
      </c>
      <c r="BN232" s="92">
        <f t="shared" si="845"/>
        <v>47.25</v>
      </c>
      <c r="BO232" s="989">
        <f>SUM(BK232,BL232,BM232,BN232)</f>
        <v>176.40</v>
      </c>
      <c r="BP232" s="989">
        <f t="shared" si="846"/>
        <v>185.22000000000003</v>
      </c>
      <c r="BQ232" s="989">
        <f t="shared" si="846"/>
        <v>194.48100000000002</v>
      </c>
      <c r="BR232" s="989">
        <f t="shared" si="846"/>
        <v>204.20505000000003</v>
      </c>
      <c r="BS232" s="305"/>
    </row>
    <row r="233" spans="1:71" s="300" customFormat="1" ht="15">
      <c r="A233" s="304" t="s">
        <v>681</v>
      </c>
      <c r="B233" s="233"/>
      <c r="C233" s="989"/>
      <c r="D233" s="989"/>
      <c r="E233" s="989"/>
      <c r="F233" s="989"/>
      <c r="G233" s="989"/>
      <c r="H233" s="92"/>
      <c r="I233" s="92"/>
      <c r="J233" s="92"/>
      <c r="K233" s="92"/>
      <c r="L233" s="989"/>
      <c r="M233" s="92"/>
      <c r="N233" s="92"/>
      <c r="O233" s="92"/>
      <c r="P233" s="92"/>
      <c r="Q233" s="989"/>
      <c r="R233" s="92"/>
      <c r="S233" s="92"/>
      <c r="T233" s="92"/>
      <c r="U233" s="92"/>
      <c r="V233" s="988">
        <v>13</v>
      </c>
      <c r="W233" s="897">
        <v>3</v>
      </c>
      <c r="X233" s="897">
        <v>4</v>
      </c>
      <c r="Y233" s="897">
        <v>4</v>
      </c>
      <c r="Z233" s="305">
        <f>AA233-SUM(W233,X233,Y233)</f>
        <v>5</v>
      </c>
      <c r="AA233" s="988">
        <v>16</v>
      </c>
      <c r="AB233" s="897">
        <v>5</v>
      </c>
      <c r="AC233" s="897">
        <v>6</v>
      </c>
      <c r="AD233" s="897">
        <v>7</v>
      </c>
      <c r="AE233" s="305">
        <f>AF233-SUM(AB233,AC233,AD233)</f>
        <v>9</v>
      </c>
      <c r="AF233" s="988">
        <v>27</v>
      </c>
      <c r="AG233" s="897">
        <v>9</v>
      </c>
      <c r="AH233" s="897">
        <v>10</v>
      </c>
      <c r="AI233" s="897">
        <v>11</v>
      </c>
      <c r="AJ233" s="305">
        <f>AK233-SUM(AG233,AH233,AI233)</f>
        <v>12</v>
      </c>
      <c r="AK233" s="988">
        <v>42</v>
      </c>
      <c r="AL233" s="897">
        <v>10</v>
      </c>
      <c r="AM233" s="897">
        <v>11</v>
      </c>
      <c r="AN233" s="897">
        <v>12</v>
      </c>
      <c r="AO233" s="305">
        <f>AP233-SUM(AL233,AM233,AN233)</f>
        <v>11</v>
      </c>
      <c r="AP233" s="988">
        <v>44</v>
      </c>
      <c r="AQ233" s="897">
        <v>10</v>
      </c>
      <c r="AR233" s="897">
        <v>12</v>
      </c>
      <c r="AS233" s="897">
        <v>10</v>
      </c>
      <c r="AT233" s="305">
        <f>AU233-SUM(AQ233,AR233,AS233)</f>
        <v>11</v>
      </c>
      <c r="AU233" s="988">
        <v>43</v>
      </c>
      <c r="AV233" s="897">
        <v>9</v>
      </c>
      <c r="AW233" s="897">
        <v>12</v>
      </c>
      <c r="AX233" s="897">
        <v>13</v>
      </c>
      <c r="AY233" s="305">
        <f>AZ233-SUM(AV233,AW233,AX233)</f>
        <v>14</v>
      </c>
      <c r="AZ233" s="988">
        <v>48</v>
      </c>
      <c r="BA233" s="897">
        <v>16</v>
      </c>
      <c r="BB233" s="897">
        <v>18</v>
      </c>
      <c r="BC233" s="897">
        <v>19</v>
      </c>
      <c r="BD233" s="305">
        <f>BE233-SUM(BA233,BB233,BC233)</f>
        <v>20</v>
      </c>
      <c r="BE233" s="988">
        <v>73</v>
      </c>
      <c r="BF233" s="897">
        <v>21</v>
      </c>
      <c r="BG233" s="897">
        <v>23</v>
      </c>
      <c r="BH233" s="898">
        <v>24</v>
      </c>
      <c r="BI233" s="92">
        <f>BI264*BI267/(BJ$3/BI$3)</f>
        <v>20.584434426229507</v>
      </c>
      <c r="BJ233" s="989">
        <f>SUM(BF233,BG233,BH233,BI233)</f>
        <v>88.584434426229507</v>
      </c>
      <c r="BK233" s="92">
        <f>BK264*BK267/(BO$3/BK$3)</f>
        <v>20.831930136986301</v>
      </c>
      <c r="BL233" s="92">
        <f>BL264*BL267/(BO$3/BL$3)</f>
        <v>21.660973082191781</v>
      </c>
      <c r="BM233" s="92">
        <f>BM264*BM267/(BO$3/BM$3)</f>
        <v>23.063795068493146</v>
      </c>
      <c r="BN233" s="92">
        <f>BN264*BN267/(BO$3/BN$3)</f>
        <v>24.356179561643838</v>
      </c>
      <c r="BO233" s="989">
        <f>SUM(BK233,BL233,BM233,BN233)</f>
        <v>89.912877849315066</v>
      </c>
      <c r="BP233" s="989">
        <f>BP264*BP267</f>
        <v>104.57063240000001</v>
      </c>
      <c r="BQ233" s="989">
        <f>BQ264*BQ267</f>
        <v>117.11910828800002</v>
      </c>
      <c r="BR233" s="989">
        <f>BR264*BR267</f>
        <v>131.17340128256004</v>
      </c>
      <c r="BS233" s="305"/>
    </row>
    <row r="234" spans="1:71" s="300" customFormat="1" ht="15">
      <c r="A234" s="112" t="s">
        <v>682</v>
      </c>
      <c r="B234" s="113"/>
      <c r="C234" s="995"/>
      <c r="D234" s="995"/>
      <c r="E234" s="995"/>
      <c r="F234" s="995"/>
      <c r="G234" s="995"/>
      <c r="H234" s="115"/>
      <c r="I234" s="115"/>
      <c r="J234" s="115"/>
      <c r="K234" s="115"/>
      <c r="L234" s="995"/>
      <c r="M234" s="115"/>
      <c r="N234" s="115"/>
      <c r="O234" s="115"/>
      <c r="P234" s="115"/>
      <c r="Q234" s="995"/>
      <c r="R234" s="115"/>
      <c r="S234" s="115"/>
      <c r="T234" s="115"/>
      <c r="U234" s="115"/>
      <c r="V234" s="995"/>
      <c r="W234" s="900">
        <v>0</v>
      </c>
      <c r="X234" s="900">
        <v>0</v>
      </c>
      <c r="Y234" s="900">
        <v>0</v>
      </c>
      <c r="Z234" s="115">
        <f>AA234-SUM(W234,X234,Y234)</f>
        <v>0</v>
      </c>
      <c r="AA234" s="990">
        <v>0</v>
      </c>
      <c r="AB234" s="900">
        <v>-4</v>
      </c>
      <c r="AC234" s="900">
        <v>-2</v>
      </c>
      <c r="AD234" s="900">
        <v>0</v>
      </c>
      <c r="AE234" s="115">
        <f>AF234-SUM(AB234,AC234,AD234)</f>
        <v>-5</v>
      </c>
      <c r="AF234" s="990">
        <v>-11</v>
      </c>
      <c r="AG234" s="900">
        <v>8</v>
      </c>
      <c r="AH234" s="900">
        <v>9</v>
      </c>
      <c r="AI234" s="900">
        <v>4</v>
      </c>
      <c r="AJ234" s="115">
        <f>AK234-SUM(AG234,AH234,AI234)</f>
        <v>11</v>
      </c>
      <c r="AK234" s="990">
        <v>32</v>
      </c>
      <c r="AL234" s="900">
        <v>-24</v>
      </c>
      <c r="AM234" s="900">
        <v>19</v>
      </c>
      <c r="AN234" s="900">
        <v>14</v>
      </c>
      <c r="AO234" s="115">
        <f>AP234-SUM(AL234,AM234,AN234)</f>
        <v>21</v>
      </c>
      <c r="AP234" s="990">
        <v>30</v>
      </c>
      <c r="AQ234" s="900">
        <v>10</v>
      </c>
      <c r="AR234" s="900">
        <v>6</v>
      </c>
      <c r="AS234" s="900">
        <v>4</v>
      </c>
      <c r="AT234" s="115">
        <f>AU234-SUM(AQ234,AR234,AS234)</f>
        <v>5</v>
      </c>
      <c r="AU234" s="990">
        <v>25</v>
      </c>
      <c r="AV234" s="900">
        <v>-13</v>
      </c>
      <c r="AW234" s="900">
        <v>-30</v>
      </c>
      <c r="AX234" s="900">
        <v>-13</v>
      </c>
      <c r="AY234" s="115">
        <f>AZ234-SUM(AV234,AW234,AX234)</f>
        <v>4</v>
      </c>
      <c r="AZ234" s="990">
        <v>-52</v>
      </c>
      <c r="BA234" s="900">
        <v>-1</v>
      </c>
      <c r="BB234" s="900">
        <v>-4</v>
      </c>
      <c r="BC234" s="900">
        <v>-8</v>
      </c>
      <c r="BD234" s="115">
        <f>BE234-SUM(BA234,BB234,BC234)</f>
        <v>13</v>
      </c>
      <c r="BE234" s="990">
        <v>0</v>
      </c>
      <c r="BF234" s="900">
        <v>-5</v>
      </c>
      <c r="BG234" s="900">
        <v>-1</v>
      </c>
      <c r="BH234" s="901">
        <v>10</v>
      </c>
      <c r="BI234" s="900">
        <v>5</v>
      </c>
      <c r="BJ234" s="995">
        <f>SUM(BF234,BG234,BH234,BI234)</f>
        <v>9</v>
      </c>
      <c r="BK234" s="900">
        <v>5</v>
      </c>
      <c r="BL234" s="900">
        <v>5</v>
      </c>
      <c r="BM234" s="900">
        <v>5</v>
      </c>
      <c r="BN234" s="900">
        <v>5</v>
      </c>
      <c r="BO234" s="995">
        <f>SUM(BK234,BL234,BM234,BN234)</f>
        <v>20</v>
      </c>
      <c r="BP234" s="990">
        <v>20</v>
      </c>
      <c r="BQ234" s="990">
        <v>20</v>
      </c>
      <c r="BR234" s="990">
        <v>20</v>
      </c>
      <c r="BS234" s="305"/>
    </row>
    <row r="235" spans="1:71" s="51" customFormat="1" ht="15">
      <c r="A235" s="109" t="s">
        <v>683</v>
      </c>
      <c r="B235" s="391"/>
      <c r="C235" s="1000"/>
      <c r="D235" s="1000"/>
      <c r="E235" s="1000"/>
      <c r="F235" s="1000"/>
      <c r="G235" s="1000"/>
      <c r="H235" s="128"/>
      <c r="I235" s="128"/>
      <c r="J235" s="128"/>
      <c r="K235" s="128"/>
      <c r="L235" s="1000"/>
      <c r="M235" s="128"/>
      <c r="N235" s="128"/>
      <c r="O235" s="128"/>
      <c r="P235" s="128"/>
      <c r="Q235" s="1000"/>
      <c r="R235" s="128"/>
      <c r="S235" s="128"/>
      <c r="T235" s="128"/>
      <c r="U235" s="128"/>
      <c r="V235" s="1000">
        <f t="shared" si="847" ref="V235:AK235">SUM(V230:V234)</f>
        <v>698</v>
      </c>
      <c r="W235" s="128">
        <f t="shared" si="847"/>
        <v>247</v>
      </c>
      <c r="X235" s="128">
        <f t="shared" si="847"/>
        <v>260</v>
      </c>
      <c r="Y235" s="128">
        <f t="shared" si="847"/>
        <v>272</v>
      </c>
      <c r="Z235" s="128">
        <f t="shared" si="847"/>
        <v>280</v>
      </c>
      <c r="AA235" s="1000">
        <f t="shared" si="847"/>
        <v>1059</v>
      </c>
      <c r="AB235" s="128">
        <f t="shared" si="847"/>
        <v>313</v>
      </c>
      <c r="AC235" s="128">
        <f t="shared" si="847"/>
        <v>320</v>
      </c>
      <c r="AD235" s="128">
        <f t="shared" si="847"/>
        <v>329</v>
      </c>
      <c r="AE235" s="128">
        <f t="shared" si="847"/>
        <v>356</v>
      </c>
      <c r="AF235" s="1000">
        <f t="shared" si="847"/>
        <v>1318</v>
      </c>
      <c r="AG235" s="128">
        <f t="shared" si="847"/>
        <v>392</v>
      </c>
      <c r="AH235" s="128">
        <f t="shared" si="847"/>
        <v>405</v>
      </c>
      <c r="AI235" s="128">
        <f t="shared" si="847"/>
        <v>418</v>
      </c>
      <c r="AJ235" s="128">
        <f t="shared" si="847"/>
        <v>434</v>
      </c>
      <c r="AK235" s="1000">
        <f t="shared" si="847"/>
        <v>1649</v>
      </c>
      <c r="AL235" s="128">
        <f>SUM(AL230:AL234)</f>
        <v>430</v>
      </c>
      <c r="AM235" s="128">
        <f>SUM(AM230:AM234)</f>
        <v>476</v>
      </c>
      <c r="AN235" s="128">
        <f>SUM(AN230:AN234)</f>
        <v>498</v>
      </c>
      <c r="AO235" s="128">
        <f t="shared" si="848" ref="AO235:AP235">SUM(AO230:AO234)</f>
        <v>518</v>
      </c>
      <c r="AP235" s="1000">
        <f t="shared" si="848"/>
        <v>1922</v>
      </c>
      <c r="AQ235" s="128">
        <f t="shared" si="849" ref="AQ235:AV235">SUM(AQ230:AQ234)</f>
        <v>562</v>
      </c>
      <c r="AR235" s="128">
        <f t="shared" si="849"/>
        <v>587</v>
      </c>
      <c r="AS235" s="128">
        <f t="shared" si="849"/>
        <v>601</v>
      </c>
      <c r="AT235" s="128">
        <f t="shared" si="849"/>
        <v>611</v>
      </c>
      <c r="AU235" s="1000">
        <f t="shared" si="849"/>
        <v>2361</v>
      </c>
      <c r="AV235" s="128">
        <f t="shared" si="849"/>
        <v>614</v>
      </c>
      <c r="AW235" s="128">
        <f t="shared" si="850" ref="AW235:BJ235">SUM(AW230:AW234)</f>
        <v>599</v>
      </c>
      <c r="AX235" s="128">
        <f t="shared" si="850"/>
        <v>627</v>
      </c>
      <c r="AY235" s="128">
        <f t="shared" si="850"/>
        <v>647</v>
      </c>
      <c r="AZ235" s="1000">
        <f t="shared" si="850"/>
        <v>2487</v>
      </c>
      <c r="BA235" s="128">
        <f t="shared" si="851" ref="BA235:BI235">SUM(BA230:BA234)</f>
        <v>670</v>
      </c>
      <c r="BB235" s="128">
        <f t="shared" si="851"/>
        <v>682</v>
      </c>
      <c r="BC235" s="128">
        <f t="shared" si="851"/>
        <v>689</v>
      </c>
      <c r="BD235" s="128">
        <f t="shared" si="851"/>
        <v>732</v>
      </c>
      <c r="BE235" s="1000">
        <f t="shared" si="851"/>
        <v>2773</v>
      </c>
      <c r="BF235" s="128">
        <f>SUM(BF230:BF234)</f>
        <v>748</v>
      </c>
      <c r="BG235" s="128">
        <f>SUM(BG230:BG234)</f>
        <v>772</v>
      </c>
      <c r="BH235" s="465">
        <f>SUM(BH230:BH234)</f>
        <v>832</v>
      </c>
      <c r="BI235" s="128">
        <f t="shared" si="851"/>
        <v>788.50443442622941</v>
      </c>
      <c r="BJ235" s="1000">
        <f t="shared" si="850"/>
        <v>3140.5044344262296</v>
      </c>
      <c r="BK235" s="128">
        <f t="shared" si="852" ref="BK235:BR235">SUM(BK230:BK234)</f>
        <v>678.51193013698639</v>
      </c>
      <c r="BL235" s="128">
        <f t="shared" si="852"/>
        <v>738.35097308219179</v>
      </c>
      <c r="BM235" s="128">
        <f t="shared" si="852"/>
        <v>764.53379506849319</v>
      </c>
      <c r="BN235" s="128">
        <f t="shared" si="852"/>
        <v>830.42217956164382</v>
      </c>
      <c r="BO235" s="1000">
        <f t="shared" si="852"/>
        <v>3011.818877849315</v>
      </c>
      <c r="BP235" s="1000">
        <f t="shared" si="852"/>
        <v>3171.5719323999997</v>
      </c>
      <c r="BQ235" s="1000">
        <f t="shared" si="852"/>
        <v>3336.4704732880009</v>
      </c>
      <c r="BR235" s="1000">
        <f t="shared" si="852"/>
        <v>3510.4923345325606</v>
      </c>
      <c r="BS235" s="57"/>
    </row>
    <row r="236" spans="1:71" s="300" customFormat="1" ht="15">
      <c r="A236" s="304" t="s">
        <v>684</v>
      </c>
      <c r="B236" s="233"/>
      <c r="C236" s="989"/>
      <c r="D236" s="989"/>
      <c r="E236" s="989"/>
      <c r="F236" s="989"/>
      <c r="G236" s="989"/>
      <c r="H236" s="92"/>
      <c r="I236" s="92"/>
      <c r="J236" s="92"/>
      <c r="K236" s="92"/>
      <c r="L236" s="989"/>
      <c r="M236" s="92"/>
      <c r="N236" s="92"/>
      <c r="O236" s="92"/>
      <c r="P236" s="92"/>
      <c r="Q236" s="989"/>
      <c r="R236" s="92"/>
      <c r="S236" s="92"/>
      <c r="T236" s="92"/>
      <c r="U236" s="92"/>
      <c r="V236" s="988">
        <v>-258</v>
      </c>
      <c r="W236" s="897">
        <v>-90</v>
      </c>
      <c r="X236" s="897">
        <v>-83</v>
      </c>
      <c r="Y236" s="897">
        <v>-106</v>
      </c>
      <c r="Z236" s="305">
        <f t="shared" si="853" ref="Z236:Z241">AA236-SUM(W236,X236,Y236)</f>
        <v>-90</v>
      </c>
      <c r="AA236" s="988">
        <v>-369</v>
      </c>
      <c r="AB236" s="897">
        <v>-93</v>
      </c>
      <c r="AC236" s="897">
        <v>-89</v>
      </c>
      <c r="AD236" s="897">
        <v>-90</v>
      </c>
      <c r="AE236" s="305">
        <f t="shared" si="854" ref="AE236:AE241">AF236-SUM(AB236,AC236,AD236)</f>
        <v>-78</v>
      </c>
      <c r="AF236" s="988">
        <v>-350</v>
      </c>
      <c r="AG236" s="897">
        <v>-92</v>
      </c>
      <c r="AH236" s="897">
        <v>-86</v>
      </c>
      <c r="AI236" s="897">
        <v>-93</v>
      </c>
      <c r="AJ236" s="305">
        <f t="shared" si="855" ref="AJ236:AJ241">AK236-SUM(AG236,AH236,AI236)</f>
        <v>-92</v>
      </c>
      <c r="AK236" s="988">
        <v>-363</v>
      </c>
      <c r="AL236" s="897">
        <v>-92</v>
      </c>
      <c r="AM236" s="897">
        <v>-85</v>
      </c>
      <c r="AN236" s="897">
        <v>-107</v>
      </c>
      <c r="AO236" s="305">
        <f t="shared" si="856" ref="AO236:AO241">AP236-SUM(AL236,AM236,AN236)</f>
        <v>-102</v>
      </c>
      <c r="AP236" s="988">
        <v>-386</v>
      </c>
      <c r="AQ236" s="897">
        <v>-103</v>
      </c>
      <c r="AR236" s="897">
        <v>-109</v>
      </c>
      <c r="AS236" s="897">
        <v>-122</v>
      </c>
      <c r="AT236" s="305">
        <f t="shared" si="857" ref="AT236:AT241">AU236-SUM(AQ236,AR236,AS236)</f>
        <v>-124</v>
      </c>
      <c r="AU236" s="988">
        <v>-458</v>
      </c>
      <c r="AV236" s="897">
        <v>-123</v>
      </c>
      <c r="AW236" s="897">
        <v>-128</v>
      </c>
      <c r="AX236" s="897">
        <v>-141</v>
      </c>
      <c r="AY236" s="305">
        <f t="shared" si="858" ref="AY236:AY241">AZ236-SUM(AV236,AW236,AX236)</f>
        <v>-140</v>
      </c>
      <c r="AZ236" s="988">
        <v>-532</v>
      </c>
      <c r="BA236" s="897">
        <v>-153</v>
      </c>
      <c r="BB236" s="897">
        <v>-153</v>
      </c>
      <c r="BC236" s="897">
        <v>-166</v>
      </c>
      <c r="BD236" s="92">
        <f t="shared" si="859" ref="BD236:BD241">BE236-SUM(BA236,BB236,BC236)</f>
        <v>-160</v>
      </c>
      <c r="BE236" s="988">
        <v>-632</v>
      </c>
      <c r="BF236" s="897">
        <v>-158</v>
      </c>
      <c r="BG236" s="897">
        <v>-157</v>
      </c>
      <c r="BH236" s="898">
        <v>-166</v>
      </c>
      <c r="BI236" s="92">
        <f>-BI230*BI255</f>
        <v>-158.99520000000001</v>
      </c>
      <c r="BJ236" s="989">
        <f t="shared" si="860" ref="BJ236:BJ241">SUM(BF236,BG236,BH236,BI236)</f>
        <v>-639.99520000000007</v>
      </c>
      <c r="BK236" s="92">
        <f>-BK230*BK255</f>
        <v>-131.67000000000002</v>
      </c>
      <c r="BL236" s="92">
        <f>-BL230*BL255</f>
        <v>-141.96000000000001</v>
      </c>
      <c r="BM236" s="92">
        <f>-BM230*BM255</f>
        <v>-148.0752</v>
      </c>
      <c r="BN236" s="92">
        <f>-BN230*BN255</f>
        <v>-166.94496000000001</v>
      </c>
      <c r="BO236" s="989">
        <f t="shared" si="861" ref="BO236:BO241">SUM(BK236,BL236,BM236,BN236)</f>
        <v>-588.65016000000003</v>
      </c>
      <c r="BP236" s="989">
        <f>-BP230*BP255</f>
        <v>-629.57512800000006</v>
      </c>
      <c r="BQ236" s="989">
        <f>-BQ230*BQ255</f>
        <v>-661.05388440000013</v>
      </c>
      <c r="BR236" s="989">
        <f>-BR230*BR255</f>
        <v>-694.10657862000016</v>
      </c>
      <c r="BS236" s="305"/>
    </row>
    <row r="237" spans="1:71" s="300" customFormat="1" ht="15">
      <c r="A237" s="304" t="s">
        <v>685</v>
      </c>
      <c r="B237" s="233"/>
      <c r="C237" s="989"/>
      <c r="D237" s="989"/>
      <c r="E237" s="989"/>
      <c r="F237" s="989"/>
      <c r="G237" s="989"/>
      <c r="H237" s="92"/>
      <c r="I237" s="92"/>
      <c r="J237" s="92"/>
      <c r="K237" s="92"/>
      <c r="L237" s="989"/>
      <c r="M237" s="92"/>
      <c r="N237" s="92"/>
      <c r="O237" s="92"/>
      <c r="P237" s="92"/>
      <c r="Q237" s="989"/>
      <c r="R237" s="92"/>
      <c r="S237" s="92"/>
      <c r="T237" s="92"/>
      <c r="U237" s="92"/>
      <c r="V237" s="988">
        <v>-214</v>
      </c>
      <c r="W237" s="897">
        <v>-68</v>
      </c>
      <c r="X237" s="897">
        <v>-71</v>
      </c>
      <c r="Y237" s="897">
        <v>-78</v>
      </c>
      <c r="Z237" s="305">
        <f t="shared" si="853"/>
        <v>-79</v>
      </c>
      <c r="AA237" s="988">
        <v>-296</v>
      </c>
      <c r="AB237" s="897">
        <v>-110</v>
      </c>
      <c r="AC237" s="897">
        <v>-113</v>
      </c>
      <c r="AD237" s="897">
        <v>-118</v>
      </c>
      <c r="AE237" s="305">
        <f t="shared" si="854"/>
        <v>-122</v>
      </c>
      <c r="AF237" s="988">
        <v>-463</v>
      </c>
      <c r="AG237" s="897">
        <v>-127</v>
      </c>
      <c r="AH237" s="897">
        <v>-134</v>
      </c>
      <c r="AI237" s="897">
        <v>-139</v>
      </c>
      <c r="AJ237" s="305">
        <f t="shared" si="855"/>
        <v>-143</v>
      </c>
      <c r="AK237" s="988">
        <v>-543</v>
      </c>
      <c r="AL237" s="897">
        <v>-153</v>
      </c>
      <c r="AM237" s="897">
        <v>-160</v>
      </c>
      <c r="AN237" s="897">
        <v>-169</v>
      </c>
      <c r="AO237" s="305">
        <f t="shared" si="856"/>
        <v>-176</v>
      </c>
      <c r="AP237" s="988">
        <v>-658</v>
      </c>
      <c r="AQ237" s="897">
        <v>-181</v>
      </c>
      <c r="AR237" s="897">
        <v>-194</v>
      </c>
      <c r="AS237" s="897">
        <v>-206</v>
      </c>
      <c r="AT237" s="305">
        <f t="shared" si="857"/>
        <v>-214</v>
      </c>
      <c r="AU237" s="988">
        <v>-795</v>
      </c>
      <c r="AV237" s="897">
        <v>-221</v>
      </c>
      <c r="AW237" s="897">
        <v>-228</v>
      </c>
      <c r="AX237" s="897">
        <v>-236</v>
      </c>
      <c r="AY237" s="305">
        <f t="shared" si="858"/>
        <v>-243</v>
      </c>
      <c r="AZ237" s="988">
        <v>-928</v>
      </c>
      <c r="BA237" s="897">
        <v>-251</v>
      </c>
      <c r="BB237" s="897">
        <v>-259</v>
      </c>
      <c r="BC237" s="897">
        <v>-269</v>
      </c>
      <c r="BD237" s="92">
        <f t="shared" si="859"/>
        <v>-279</v>
      </c>
      <c r="BE237" s="988">
        <v>-1058</v>
      </c>
      <c r="BF237" s="897">
        <v>-289</v>
      </c>
      <c r="BG237" s="897">
        <v>-296</v>
      </c>
      <c r="BH237" s="898">
        <v>-304</v>
      </c>
      <c r="BI237" s="92">
        <f>-BI230*BI256</f>
        <v>-269.68031999999999</v>
      </c>
      <c r="BJ237" s="989">
        <f t="shared" si="860"/>
        <v>-1158.6803199999999</v>
      </c>
      <c r="BK237" s="92">
        <f>-BK230*BK256</f>
        <v>-210.67200000000003</v>
      </c>
      <c r="BL237" s="92">
        <f>-BL230*BL256</f>
        <v>-227.13600000000002</v>
      </c>
      <c r="BM237" s="92">
        <f>-BM230*BM256</f>
        <v>-227.80799999999999</v>
      </c>
      <c r="BN237" s="92">
        <f>-BN230*BN256</f>
        <v>-256.83840000000004</v>
      </c>
      <c r="BO237" s="989">
        <f t="shared" si="861"/>
        <v>-922.45440000000008</v>
      </c>
      <c r="BP237" s="989">
        <f>-BP230*BP256</f>
        <v>-1067.8562748000002</v>
      </c>
      <c r="BQ237" s="989">
        <f>-BQ230*BQ256</f>
        <v>-1121.2490885400005</v>
      </c>
      <c r="BR237" s="989">
        <f>-BR230*BR256</f>
        <v>-1177.3115429670004</v>
      </c>
      <c r="BS237" s="305"/>
    </row>
    <row r="238" spans="1:71" s="300" customFormat="1" ht="15">
      <c r="A238" s="304" t="s">
        <v>686</v>
      </c>
      <c r="B238" s="233"/>
      <c r="C238" s="989"/>
      <c r="D238" s="989"/>
      <c r="E238" s="989"/>
      <c r="F238" s="989"/>
      <c r="G238" s="989"/>
      <c r="H238" s="92"/>
      <c r="I238" s="92"/>
      <c r="J238" s="92"/>
      <c r="K238" s="92"/>
      <c r="L238" s="989"/>
      <c r="M238" s="92"/>
      <c r="N238" s="92"/>
      <c r="O238" s="92"/>
      <c r="P238" s="92"/>
      <c r="Q238" s="989"/>
      <c r="R238" s="92"/>
      <c r="S238" s="92"/>
      <c r="T238" s="92"/>
      <c r="U238" s="92"/>
      <c r="V238" s="988">
        <v>-223</v>
      </c>
      <c r="W238" s="897">
        <v>-104</v>
      </c>
      <c r="X238" s="897">
        <v>-116</v>
      </c>
      <c r="Y238" s="897">
        <v>-115</v>
      </c>
      <c r="Z238" s="305">
        <f t="shared" si="853"/>
        <v>-132</v>
      </c>
      <c r="AA238" s="988">
        <v>-467</v>
      </c>
      <c r="AB238" s="897">
        <v>-117</v>
      </c>
      <c r="AC238" s="897">
        <v>-116</v>
      </c>
      <c r="AD238" s="897">
        <v>-124</v>
      </c>
      <c r="AE238" s="305">
        <f t="shared" si="854"/>
        <v>-148</v>
      </c>
      <c r="AF238" s="988">
        <v>-505</v>
      </c>
      <c r="AG238" s="897">
        <v>-151</v>
      </c>
      <c r="AH238" s="897">
        <v>-158</v>
      </c>
      <c r="AI238" s="897">
        <v>-171</v>
      </c>
      <c r="AJ238" s="305">
        <f t="shared" si="855"/>
        <v>-181</v>
      </c>
      <c r="AK238" s="988">
        <v>-661</v>
      </c>
      <c r="AL238" s="897">
        <v>-161</v>
      </c>
      <c r="AM238" s="897">
        <v>-163</v>
      </c>
      <c r="AN238" s="897">
        <v>-160</v>
      </c>
      <c r="AO238" s="305">
        <f t="shared" si="856"/>
        <v>-167</v>
      </c>
      <c r="AP238" s="988">
        <v>-651</v>
      </c>
      <c r="AQ238" s="897">
        <v>-198</v>
      </c>
      <c r="AR238" s="897">
        <v>-203</v>
      </c>
      <c r="AS238" s="897">
        <v>-209</v>
      </c>
      <c r="AT238" s="305">
        <f t="shared" si="857"/>
        <v>-227</v>
      </c>
      <c r="AU238" s="988">
        <v>-837</v>
      </c>
      <c r="AV238" s="897">
        <v>-218</v>
      </c>
      <c r="AW238" s="897">
        <v>-213</v>
      </c>
      <c r="AX238" s="897">
        <v>-214</v>
      </c>
      <c r="AY238" s="305">
        <f t="shared" si="858"/>
        <v>-229</v>
      </c>
      <c r="AZ238" s="988">
        <v>-874</v>
      </c>
      <c r="BA238" s="897">
        <v>-221</v>
      </c>
      <c r="BB238" s="897">
        <v>-218</v>
      </c>
      <c r="BC238" s="897">
        <v>-225</v>
      </c>
      <c r="BD238" s="92">
        <f t="shared" si="859"/>
        <v>-225</v>
      </c>
      <c r="BE238" s="988">
        <v>-889</v>
      </c>
      <c r="BF238" s="897">
        <v>-234</v>
      </c>
      <c r="BG238" s="897">
        <v>-246</v>
      </c>
      <c r="BH238" s="898">
        <v>-280</v>
      </c>
      <c r="BI238" s="92">
        <f>(-BI230*BI257)-BI232</f>
        <v>-228.45599999999999</v>
      </c>
      <c r="BJ238" s="989">
        <f t="shared" si="860"/>
        <v>-988.45600000000002</v>
      </c>
      <c r="BK238" s="92">
        <f>(-BK230*BK257)-BK232</f>
        <v>-168.42000000000002</v>
      </c>
      <c r="BL238" s="92">
        <f>(-BL230*BL257)-BL232</f>
        <v>-182.91000000000003</v>
      </c>
      <c r="BM238" s="92">
        <f>(-BM230*BM257)-BM232</f>
        <v>-193.82999999999998</v>
      </c>
      <c r="BN238" s="92">
        <f>(-BN230*BN257)-BN232</f>
        <v>-207.774</v>
      </c>
      <c r="BO238" s="989">
        <f t="shared" si="861"/>
        <v>-752.93400000000008</v>
      </c>
      <c r="BP238" s="989">
        <f>(-BP230*BP257)-BP232</f>
        <v>-813.96235666666678</v>
      </c>
      <c r="BQ238" s="989">
        <f>(-BQ230*BQ257)-BQ232</f>
        <v>-854.66047450000008</v>
      </c>
      <c r="BR238" s="989">
        <f>(-BR230*BR257)-BR232</f>
        <v>-897.39349822500014</v>
      </c>
      <c r="BS238" s="305"/>
    </row>
    <row r="239" spans="1:71" s="300" customFormat="1" ht="15">
      <c r="A239" s="304" t="s">
        <v>687</v>
      </c>
      <c r="B239" s="233"/>
      <c r="C239" s="989"/>
      <c r="D239" s="989"/>
      <c r="E239" s="989"/>
      <c r="F239" s="989"/>
      <c r="G239" s="989"/>
      <c r="H239" s="92"/>
      <c r="I239" s="92"/>
      <c r="J239" s="92"/>
      <c r="K239" s="92"/>
      <c r="L239" s="989"/>
      <c r="M239" s="92"/>
      <c r="N239" s="92"/>
      <c r="O239" s="92"/>
      <c r="P239" s="92"/>
      <c r="Q239" s="989"/>
      <c r="R239" s="92"/>
      <c r="S239" s="92"/>
      <c r="T239" s="92"/>
      <c r="U239" s="92"/>
      <c r="V239" s="988">
        <v>0</v>
      </c>
      <c r="W239" s="897">
        <v>0</v>
      </c>
      <c r="X239" s="897">
        <v>-1</v>
      </c>
      <c r="Y239" s="897">
        <v>-1</v>
      </c>
      <c r="Z239" s="305">
        <f t="shared" si="853"/>
        <v>-11</v>
      </c>
      <c r="AA239" s="988">
        <v>-13</v>
      </c>
      <c r="AB239" s="897">
        <v>-1</v>
      </c>
      <c r="AC239" s="897">
        <v>0</v>
      </c>
      <c r="AD239" s="897">
        <v>0</v>
      </c>
      <c r="AE239" s="305">
        <f t="shared" si="854"/>
        <v>-3</v>
      </c>
      <c r="AF239" s="988">
        <v>-4</v>
      </c>
      <c r="AG239" s="897">
        <v>0</v>
      </c>
      <c r="AH239" s="897">
        <v>1</v>
      </c>
      <c r="AI239" s="897">
        <v>-1</v>
      </c>
      <c r="AJ239" s="305">
        <f t="shared" si="855"/>
        <v>0</v>
      </c>
      <c r="AK239" s="988">
        <v>0</v>
      </c>
      <c r="AL239" s="897">
        <v>0</v>
      </c>
      <c r="AM239" s="897">
        <v>-3</v>
      </c>
      <c r="AN239" s="897">
        <v>2</v>
      </c>
      <c r="AO239" s="305">
        <f t="shared" si="856"/>
        <v>-2</v>
      </c>
      <c r="AP239" s="988">
        <v>-3</v>
      </c>
      <c r="AQ239" s="897">
        <v>-9</v>
      </c>
      <c r="AR239" s="897">
        <v>-4</v>
      </c>
      <c r="AS239" s="897">
        <v>1</v>
      </c>
      <c r="AT239" s="305">
        <f t="shared" si="857"/>
        <v>-2</v>
      </c>
      <c r="AU239" s="988">
        <v>-14</v>
      </c>
      <c r="AV239" s="897">
        <v>0</v>
      </c>
      <c r="AW239" s="92"/>
      <c r="AX239" s="897">
        <v>-1</v>
      </c>
      <c r="AY239" s="305">
        <f t="shared" si="858"/>
        <v>-1</v>
      </c>
      <c r="AZ239" s="988">
        <v>-2</v>
      </c>
      <c r="BA239" s="897">
        <v>-1</v>
      </c>
      <c r="BB239" s="897">
        <v>0</v>
      </c>
      <c r="BC239" s="897">
        <v>-3</v>
      </c>
      <c r="BD239" s="92">
        <f t="shared" si="859"/>
        <v>-2</v>
      </c>
      <c r="BE239" s="988">
        <v>-6</v>
      </c>
      <c r="BF239" s="897">
        <v>-1</v>
      </c>
      <c r="BG239" s="897">
        <v>0</v>
      </c>
      <c r="BH239" s="898">
        <v>0</v>
      </c>
      <c r="BI239" s="897">
        <v>0</v>
      </c>
      <c r="BJ239" s="989">
        <f t="shared" si="860"/>
        <v>-1</v>
      </c>
      <c r="BK239" s="897">
        <v>0</v>
      </c>
      <c r="BL239" s="897">
        <v>0</v>
      </c>
      <c r="BM239" s="897">
        <v>0</v>
      </c>
      <c r="BN239" s="897">
        <v>0</v>
      </c>
      <c r="BO239" s="989">
        <f t="shared" si="861"/>
        <v>0</v>
      </c>
      <c r="BP239" s="988">
        <v>0</v>
      </c>
      <c r="BQ239" s="988">
        <v>0</v>
      </c>
      <c r="BR239" s="988">
        <v>0</v>
      </c>
      <c r="BS239" s="305"/>
    </row>
    <row r="240" spans="1:71" s="300" customFormat="1" ht="15">
      <c r="A240" s="304" t="s">
        <v>688</v>
      </c>
      <c r="B240" s="233"/>
      <c r="C240" s="989"/>
      <c r="D240" s="989"/>
      <c r="E240" s="989"/>
      <c r="F240" s="989"/>
      <c r="G240" s="989"/>
      <c r="H240" s="92"/>
      <c r="I240" s="92"/>
      <c r="J240" s="92"/>
      <c r="K240" s="92"/>
      <c r="L240" s="989"/>
      <c r="M240" s="92"/>
      <c r="N240" s="92"/>
      <c r="O240" s="92"/>
      <c r="P240" s="92"/>
      <c r="Q240" s="989"/>
      <c r="R240" s="92"/>
      <c r="S240" s="92"/>
      <c r="T240" s="92"/>
      <c r="U240" s="92"/>
      <c r="V240" s="988">
        <v>0</v>
      </c>
      <c r="W240" s="897">
        <v>-23</v>
      </c>
      <c r="X240" s="897">
        <v>-23</v>
      </c>
      <c r="Y240" s="897">
        <v>-23</v>
      </c>
      <c r="Z240" s="305">
        <f t="shared" si="853"/>
        <v>-23</v>
      </c>
      <c r="AA240" s="988">
        <v>-92</v>
      </c>
      <c r="AB240" s="897">
        <v>-21</v>
      </c>
      <c r="AC240" s="897">
        <v>-20</v>
      </c>
      <c r="AD240" s="897">
        <v>-20</v>
      </c>
      <c r="AE240" s="305">
        <f t="shared" si="854"/>
        <v>-33</v>
      </c>
      <c r="AF240" s="988">
        <v>-94</v>
      </c>
      <c r="AG240" s="897">
        <v>-31</v>
      </c>
      <c r="AH240" s="897">
        <v>-31</v>
      </c>
      <c r="AI240" s="897">
        <v>-31</v>
      </c>
      <c r="AJ240" s="305">
        <f t="shared" si="855"/>
        <v>-29</v>
      </c>
      <c r="AK240" s="988">
        <v>-122</v>
      </c>
      <c r="AL240" s="897">
        <v>-27</v>
      </c>
      <c r="AM240" s="897">
        <v>-26</v>
      </c>
      <c r="AN240" s="897">
        <v>-28</v>
      </c>
      <c r="AO240" s="305">
        <f t="shared" si="856"/>
        <v>-25</v>
      </c>
      <c r="AP240" s="988">
        <v>-106</v>
      </c>
      <c r="AQ240" s="897">
        <v>0</v>
      </c>
      <c r="AR240" s="897">
        <v>0</v>
      </c>
      <c r="AS240" s="92"/>
      <c r="AT240" s="305">
        <f t="shared" si="857"/>
        <v>0</v>
      </c>
      <c r="AU240" s="989"/>
      <c r="AV240" s="92"/>
      <c r="AW240" s="92"/>
      <c r="AX240" s="92"/>
      <c r="AY240" s="305">
        <f t="shared" si="858"/>
        <v>0</v>
      </c>
      <c r="AZ240" s="989"/>
      <c r="BA240" s="92"/>
      <c r="BB240" s="92"/>
      <c r="BC240" s="92"/>
      <c r="BD240" s="92">
        <f t="shared" si="859"/>
        <v>0</v>
      </c>
      <c r="BE240" s="989"/>
      <c r="BF240" s="92"/>
      <c r="BG240" s="92"/>
      <c r="BH240" s="464"/>
      <c r="BI240" s="897">
        <v>-28</v>
      </c>
      <c r="BJ240" s="989">
        <f t="shared" si="860"/>
        <v>-28</v>
      </c>
      <c r="BK240" s="897">
        <v>-28</v>
      </c>
      <c r="BL240" s="897">
        <v>-28</v>
      </c>
      <c r="BM240" s="897">
        <v>-28</v>
      </c>
      <c r="BN240" s="897">
        <v>-28</v>
      </c>
      <c r="BO240" s="989">
        <f t="shared" si="861"/>
        <v>-112</v>
      </c>
      <c r="BP240" s="988">
        <v>-112</v>
      </c>
      <c r="BQ240" s="988">
        <v>-112</v>
      </c>
      <c r="BR240" s="988">
        <v>-112</v>
      </c>
      <c r="BS240" s="305"/>
    </row>
    <row r="241" spans="1:71" s="300" customFormat="1" ht="15">
      <c r="A241" s="110" t="s">
        <v>689</v>
      </c>
      <c r="B241" s="113"/>
      <c r="C241" s="995"/>
      <c r="D241" s="995"/>
      <c r="E241" s="995"/>
      <c r="F241" s="995"/>
      <c r="G241" s="995"/>
      <c r="H241" s="115"/>
      <c r="I241" s="115"/>
      <c r="J241" s="115"/>
      <c r="K241" s="115"/>
      <c r="L241" s="995"/>
      <c r="M241" s="115"/>
      <c r="N241" s="115"/>
      <c r="O241" s="115"/>
      <c r="P241" s="115"/>
      <c r="Q241" s="995"/>
      <c r="R241" s="115"/>
      <c r="S241" s="115"/>
      <c r="T241" s="115"/>
      <c r="U241" s="115"/>
      <c r="V241" s="995"/>
      <c r="W241" s="115"/>
      <c r="X241" s="115"/>
      <c r="Y241" s="115"/>
      <c r="Z241" s="58">
        <f t="shared" si="853"/>
        <v>0</v>
      </c>
      <c r="AA241" s="995"/>
      <c r="AB241" s="900">
        <v>0</v>
      </c>
      <c r="AC241" s="900">
        <v>0</v>
      </c>
      <c r="AD241" s="900">
        <v>0</v>
      </c>
      <c r="AE241" s="58">
        <f t="shared" si="854"/>
        <v>0</v>
      </c>
      <c r="AF241" s="990">
        <v>0</v>
      </c>
      <c r="AG241" s="900">
        <v>0</v>
      </c>
      <c r="AH241" s="900">
        <v>-55</v>
      </c>
      <c r="AI241" s="900">
        <v>0</v>
      </c>
      <c r="AJ241" s="58">
        <f t="shared" si="855"/>
        <v>0</v>
      </c>
      <c r="AK241" s="990">
        <v>-55</v>
      </c>
      <c r="AL241" s="900">
        <v>0</v>
      </c>
      <c r="AM241" s="900">
        <v>0</v>
      </c>
      <c r="AN241" s="115"/>
      <c r="AO241" s="58">
        <f t="shared" si="856"/>
        <v>0</v>
      </c>
      <c r="AP241" s="995"/>
      <c r="AQ241" s="115"/>
      <c r="AR241" s="115"/>
      <c r="AS241" s="115"/>
      <c r="AT241" s="58">
        <f t="shared" si="857"/>
        <v>0</v>
      </c>
      <c r="AU241" s="995"/>
      <c r="AV241" s="115"/>
      <c r="AW241" s="115"/>
      <c r="AX241" s="115"/>
      <c r="AY241" s="58">
        <f t="shared" si="858"/>
        <v>0</v>
      </c>
      <c r="AZ241" s="995"/>
      <c r="BA241" s="115"/>
      <c r="BB241" s="115"/>
      <c r="BC241" s="115"/>
      <c r="BD241" s="115">
        <f t="shared" si="859"/>
        <v>0</v>
      </c>
      <c r="BE241" s="995"/>
      <c r="BF241" s="115"/>
      <c r="BG241" s="115"/>
      <c r="BH241" s="641"/>
      <c r="BI241" s="900">
        <v>0</v>
      </c>
      <c r="BJ241" s="995">
        <f t="shared" si="860"/>
        <v>0</v>
      </c>
      <c r="BK241" s="900">
        <v>0</v>
      </c>
      <c r="BL241" s="900">
        <v>0</v>
      </c>
      <c r="BM241" s="900">
        <v>0</v>
      </c>
      <c r="BN241" s="900">
        <v>0</v>
      </c>
      <c r="BO241" s="995">
        <f t="shared" si="861"/>
        <v>0</v>
      </c>
      <c r="BP241" s="990">
        <v>0</v>
      </c>
      <c r="BQ241" s="990">
        <v>0</v>
      </c>
      <c r="BR241" s="990">
        <v>0</v>
      </c>
      <c r="BS241" s="305"/>
    </row>
    <row r="242" spans="1:71" s="51" customFormat="1" ht="15">
      <c r="A242" s="109" t="s">
        <v>690</v>
      </c>
      <c r="B242" s="391"/>
      <c r="C242" s="1000"/>
      <c r="D242" s="1000"/>
      <c r="E242" s="1000"/>
      <c r="F242" s="1000"/>
      <c r="G242" s="1000"/>
      <c r="H242" s="128"/>
      <c r="I242" s="128"/>
      <c r="J242" s="128"/>
      <c r="K242" s="128"/>
      <c r="L242" s="1000"/>
      <c r="M242" s="128"/>
      <c r="N242" s="128"/>
      <c r="O242" s="128"/>
      <c r="P242" s="128"/>
      <c r="Q242" s="1000"/>
      <c r="R242" s="128"/>
      <c r="S242" s="128"/>
      <c r="T242" s="128"/>
      <c r="U242" s="128"/>
      <c r="V242" s="999">
        <f t="shared" si="862" ref="V242:AK242">V235+SUM(V236:V241)</f>
        <v>3</v>
      </c>
      <c r="W242" s="57">
        <f t="shared" si="862"/>
        <v>-38</v>
      </c>
      <c r="X242" s="57">
        <f t="shared" si="862"/>
        <v>-34</v>
      </c>
      <c r="Y242" s="57">
        <f t="shared" si="862"/>
        <v>-51</v>
      </c>
      <c r="Z242" s="57">
        <f t="shared" si="862"/>
        <v>-55</v>
      </c>
      <c r="AA242" s="999">
        <f t="shared" si="862"/>
        <v>-178</v>
      </c>
      <c r="AB242" s="57">
        <f t="shared" si="862"/>
        <v>-29</v>
      </c>
      <c r="AC242" s="57">
        <f t="shared" si="862"/>
        <v>-18</v>
      </c>
      <c r="AD242" s="57">
        <f t="shared" si="862"/>
        <v>-23</v>
      </c>
      <c r="AE242" s="57">
        <f t="shared" si="862"/>
        <v>-28</v>
      </c>
      <c r="AF242" s="999">
        <f t="shared" si="862"/>
        <v>-98</v>
      </c>
      <c r="AG242" s="57">
        <f t="shared" si="862"/>
        <v>-9</v>
      </c>
      <c r="AH242" s="57">
        <f t="shared" si="862"/>
        <v>-58</v>
      </c>
      <c r="AI242" s="57">
        <f t="shared" si="862"/>
        <v>-17</v>
      </c>
      <c r="AJ242" s="57">
        <f t="shared" si="862"/>
        <v>-11</v>
      </c>
      <c r="AK242" s="999">
        <f t="shared" si="862"/>
        <v>-95</v>
      </c>
      <c r="AL242" s="57">
        <f>AL235+SUM(AL236:AL241)</f>
        <v>-3</v>
      </c>
      <c r="AM242" s="57">
        <f>AM235+SUM(AM236:AM241)</f>
        <v>39</v>
      </c>
      <c r="AN242" s="57">
        <f>AN235+SUM(AN236:AN241)</f>
        <v>36</v>
      </c>
      <c r="AO242" s="57">
        <f t="shared" si="863" ref="AO242:AP242">AO235+SUM(AO236:AO241)</f>
        <v>46</v>
      </c>
      <c r="AP242" s="999">
        <f t="shared" si="863"/>
        <v>118</v>
      </c>
      <c r="AQ242" s="57">
        <f>AQ235+SUM(AQ236:AQ241)-AQ234</f>
        <v>61</v>
      </c>
      <c r="AR242" s="57">
        <f>AR235+SUM(AR236:AR241)-AR234</f>
        <v>71</v>
      </c>
      <c r="AS242" s="57">
        <f>AS235+SUM(AS236:AS241)-AS234</f>
        <v>61</v>
      </c>
      <c r="AT242" s="57">
        <f t="shared" si="864" ref="AT242:AU242">AT235+SUM(AT236:AT241)-AT234</f>
        <v>39</v>
      </c>
      <c r="AU242" s="999">
        <f t="shared" si="864"/>
        <v>232</v>
      </c>
      <c r="AV242" s="57">
        <f t="shared" si="865" ref="AV242:BJ242">AV235+SUM(AV236:AV241)-AV234</f>
        <v>65</v>
      </c>
      <c r="AW242" s="57">
        <f t="shared" si="865"/>
        <v>60</v>
      </c>
      <c r="AX242" s="57">
        <f t="shared" si="865"/>
        <v>48</v>
      </c>
      <c r="AY242" s="57">
        <f t="shared" si="865"/>
        <v>30</v>
      </c>
      <c r="AZ242" s="999">
        <f t="shared" si="865"/>
        <v>203</v>
      </c>
      <c r="BA242" s="57">
        <f t="shared" si="866" ref="BA242:BI242">BA235+SUM(BA236:BA241)-BA234</f>
        <v>45</v>
      </c>
      <c r="BB242" s="57">
        <f t="shared" si="866"/>
        <v>56</v>
      </c>
      <c r="BC242" s="57">
        <f t="shared" si="866"/>
        <v>34</v>
      </c>
      <c r="BD242" s="128">
        <f t="shared" si="866"/>
        <v>53</v>
      </c>
      <c r="BE242" s="1000">
        <f t="shared" si="866"/>
        <v>188</v>
      </c>
      <c r="BF242" s="57">
        <f>BF235+SUM(BF236:BF241)-BF234</f>
        <v>71</v>
      </c>
      <c r="BG242" s="57">
        <f>BG235+SUM(BG236:BG241)-BG234</f>
        <v>74</v>
      </c>
      <c r="BH242" s="745">
        <f>BH235+SUM(BH236:BH241)-BH234</f>
        <v>72</v>
      </c>
      <c r="BI242" s="128">
        <f t="shared" si="866"/>
        <v>98.372914426229386</v>
      </c>
      <c r="BJ242" s="1000">
        <f t="shared" si="865"/>
        <v>315.37291442622973</v>
      </c>
      <c r="BK242" s="128">
        <f t="shared" si="867" ref="BK242:BR242">BK235+SUM(BK236:BK241)-BK234</f>
        <v>134.74993013698634</v>
      </c>
      <c r="BL242" s="128">
        <f t="shared" si="867"/>
        <v>153.3449730821917</v>
      </c>
      <c r="BM242" s="128">
        <f t="shared" si="867"/>
        <v>161.82059506849328</v>
      </c>
      <c r="BN242" s="128">
        <f t="shared" si="867"/>
        <v>165.8648195616438</v>
      </c>
      <c r="BO242" s="1000">
        <f t="shared" si="867"/>
        <v>615.78031784931454</v>
      </c>
      <c r="BP242" s="1000">
        <f t="shared" si="867"/>
        <v>528.17817293333246</v>
      </c>
      <c r="BQ242" s="1000">
        <f t="shared" si="867"/>
        <v>567.50702584800047</v>
      </c>
      <c r="BR242" s="1000">
        <f t="shared" si="867"/>
        <v>609.68071472055999</v>
      </c>
      <c r="BS242" s="57"/>
    </row>
    <row r="243" spans="1:71" s="300" customFormat="1" ht="15">
      <c r="A243" s="304" t="s">
        <v>835</v>
      </c>
      <c r="B243" s="233"/>
      <c r="C243" s="989"/>
      <c r="D243" s="989"/>
      <c r="E243" s="989"/>
      <c r="F243" s="989"/>
      <c r="G243" s="989"/>
      <c r="H243" s="92"/>
      <c r="I243" s="92"/>
      <c r="J243" s="92"/>
      <c r="K243" s="92"/>
      <c r="L243" s="989"/>
      <c r="M243" s="92"/>
      <c r="N243" s="92"/>
      <c r="O243" s="92"/>
      <c r="P243" s="92"/>
      <c r="Q243" s="989"/>
      <c r="R243" s="92"/>
      <c r="S243" s="92"/>
      <c r="T243" s="92"/>
      <c r="U243" s="92"/>
      <c r="V243" s="989"/>
      <c r="W243" s="92"/>
      <c r="X243" s="92"/>
      <c r="Y243" s="92"/>
      <c r="Z243" s="92"/>
      <c r="AA243" s="989"/>
      <c r="AB243" s="92"/>
      <c r="AC243" s="92"/>
      <c r="AD243" s="92"/>
      <c r="AE243" s="92"/>
      <c r="AF243" s="989"/>
      <c r="AG243" s="92"/>
      <c r="AH243" s="92"/>
      <c r="AI243" s="92"/>
      <c r="AJ243" s="92"/>
      <c r="AK243" s="989"/>
      <c r="AL243" s="92"/>
      <c r="AM243" s="92"/>
      <c r="AN243" s="92"/>
      <c r="AO243" s="92"/>
      <c r="AP243" s="989"/>
      <c r="AQ243" s="92"/>
      <c r="AR243" s="92"/>
      <c r="AS243" s="92"/>
      <c r="AT243" s="305">
        <f>AU243-SUM(AQ243,AR243,AS243)</f>
        <v>-1</v>
      </c>
      <c r="AU243" s="988">
        <v>-1</v>
      </c>
      <c r="AV243" s="92"/>
      <c r="AW243" s="897">
        <v>-1</v>
      </c>
      <c r="AX243" s="92"/>
      <c r="AY243" s="305">
        <f>AZ243-SUM(AV243,AW243,AX243)</f>
        <v>2</v>
      </c>
      <c r="AZ243" s="988">
        <v>1</v>
      </c>
      <c r="BA243" s="92"/>
      <c r="BB243" s="92"/>
      <c r="BC243" s="897">
        <v>1</v>
      </c>
      <c r="BD243" s="92">
        <f>BE243-SUM(BA243,BB243,BC243)</f>
        <v>0</v>
      </c>
      <c r="BE243" s="988">
        <v>1</v>
      </c>
      <c r="BF243" s="92"/>
      <c r="BG243" s="92"/>
      <c r="BH243" s="898">
        <v>1</v>
      </c>
      <c r="BI243" s="92"/>
      <c r="BJ243" s="989"/>
      <c r="BK243" s="92"/>
      <c r="BL243" s="92"/>
      <c r="BM243" s="92"/>
      <c r="BN243" s="92"/>
      <c r="BO243" s="989"/>
      <c r="BP243" s="989"/>
      <c r="BQ243" s="989"/>
      <c r="BR243" s="989"/>
      <c r="BS243" s="305"/>
    </row>
    <row r="244" spans="1:71" s="300" customFormat="1" ht="15">
      <c r="A244" s="110" t="s">
        <v>691</v>
      </c>
      <c r="B244" s="113"/>
      <c r="C244" s="995"/>
      <c r="D244" s="995"/>
      <c r="E244" s="995"/>
      <c r="F244" s="995"/>
      <c r="G244" s="995"/>
      <c r="H244" s="115"/>
      <c r="I244" s="115"/>
      <c r="J244" s="115"/>
      <c r="K244" s="115"/>
      <c r="L244" s="995"/>
      <c r="M244" s="115"/>
      <c r="N244" s="115"/>
      <c r="O244" s="115"/>
      <c r="P244" s="115"/>
      <c r="Q244" s="995"/>
      <c r="R244" s="115"/>
      <c r="S244" s="115"/>
      <c r="T244" s="115"/>
      <c r="U244" s="115"/>
      <c r="V244" s="990">
        <v>0</v>
      </c>
      <c r="W244" s="900">
        <v>13</v>
      </c>
      <c r="X244" s="900">
        <v>11</v>
      </c>
      <c r="Y244" s="900">
        <v>19</v>
      </c>
      <c r="Z244" s="58">
        <f>AA244-SUM(W244,X244,Y244)</f>
        <v>150</v>
      </c>
      <c r="AA244" s="990">
        <v>193</v>
      </c>
      <c r="AB244" s="900">
        <v>7</v>
      </c>
      <c r="AC244" s="900">
        <v>3</v>
      </c>
      <c r="AD244" s="900">
        <v>3</v>
      </c>
      <c r="AE244" s="58">
        <f>AF244-SUM(AB244,AC244,AD244)</f>
        <v>6</v>
      </c>
      <c r="AF244" s="990">
        <v>19</v>
      </c>
      <c r="AG244" s="900">
        <v>3</v>
      </c>
      <c r="AH244" s="900">
        <v>12</v>
      </c>
      <c r="AI244" s="900">
        <v>4</v>
      </c>
      <c r="AJ244" s="58">
        <f>AK244-SUM(AG244,AH244,AI244)</f>
        <v>-1</v>
      </c>
      <c r="AK244" s="990">
        <v>18</v>
      </c>
      <c r="AL244" s="900">
        <v>0</v>
      </c>
      <c r="AM244" s="900">
        <v>-7</v>
      </c>
      <c r="AN244" s="900">
        <v>-6</v>
      </c>
      <c r="AO244" s="58">
        <f>AP244-SUM(AL244,AM244,AN244)</f>
        <v>-13</v>
      </c>
      <c r="AP244" s="990">
        <v>-26</v>
      </c>
      <c r="AQ244" s="900">
        <v>-12</v>
      </c>
      <c r="AR244" s="900">
        <v>-15</v>
      </c>
      <c r="AS244" s="900">
        <v>-16</v>
      </c>
      <c r="AT244" s="58">
        <f>AU244-SUM(AQ244,AR244,AS244)</f>
        <v>-9</v>
      </c>
      <c r="AU244" s="990">
        <v>-52</v>
      </c>
      <c r="AV244" s="900">
        <v>-12</v>
      </c>
      <c r="AW244" s="900">
        <v>-16</v>
      </c>
      <c r="AX244" s="900">
        <v>-13</v>
      </c>
      <c r="AY244" s="58">
        <f>AZ244-SUM(AV244,AW244,AX244)</f>
        <v>6</v>
      </c>
      <c r="AZ244" s="990">
        <v>-35</v>
      </c>
      <c r="BA244" s="900">
        <v>-11</v>
      </c>
      <c r="BB244" s="900">
        <v>-15</v>
      </c>
      <c r="BC244" s="900">
        <v>-8</v>
      </c>
      <c r="BD244" s="115">
        <f>BE244-SUM(BA244,BB244,BC244)</f>
        <v>-49</v>
      </c>
      <c r="BE244" s="990">
        <v>-83</v>
      </c>
      <c r="BF244" s="900">
        <v>-17</v>
      </c>
      <c r="BG244" s="900">
        <v>-19</v>
      </c>
      <c r="BH244" s="901">
        <v>-15</v>
      </c>
      <c r="BI244" s="115"/>
      <c r="BJ244" s="995"/>
      <c r="BK244" s="115"/>
      <c r="BL244" s="115"/>
      <c r="BM244" s="115"/>
      <c r="BN244" s="115"/>
      <c r="BO244" s="995"/>
      <c r="BP244" s="995"/>
      <c r="BQ244" s="995"/>
      <c r="BR244" s="995"/>
      <c r="BS244" s="305"/>
    </row>
    <row r="245" spans="1:71" s="51" customFormat="1" ht="15">
      <c r="A245" s="109" t="s">
        <v>692</v>
      </c>
      <c r="B245" s="391"/>
      <c r="C245" s="999">
        <f t="shared" si="868" ref="C245:P245">C242+C244</f>
        <v>0</v>
      </c>
      <c r="D245" s="999">
        <f t="shared" si="868"/>
        <v>0</v>
      </c>
      <c r="E245" s="999">
        <f t="shared" si="868"/>
        <v>0</v>
      </c>
      <c r="F245" s="999">
        <f t="shared" si="868"/>
        <v>0</v>
      </c>
      <c r="G245" s="999">
        <f t="shared" si="868"/>
        <v>0</v>
      </c>
      <c r="H245" s="57">
        <f t="shared" si="868"/>
        <v>0</v>
      </c>
      <c r="I245" s="57">
        <f t="shared" si="868"/>
        <v>0</v>
      </c>
      <c r="J245" s="57">
        <f t="shared" si="868"/>
        <v>0</v>
      </c>
      <c r="K245" s="57">
        <f t="shared" si="868"/>
        <v>0</v>
      </c>
      <c r="L245" s="999">
        <f t="shared" si="868"/>
        <v>0</v>
      </c>
      <c r="M245" s="57">
        <f t="shared" si="868"/>
        <v>0</v>
      </c>
      <c r="N245" s="57">
        <f t="shared" si="868"/>
        <v>0</v>
      </c>
      <c r="O245" s="57">
        <f t="shared" si="868"/>
        <v>0</v>
      </c>
      <c r="P245" s="57">
        <f t="shared" si="868"/>
        <v>0</v>
      </c>
      <c r="Q245" s="1000"/>
      <c r="R245" s="128"/>
      <c r="S245" s="128"/>
      <c r="T245" s="128"/>
      <c r="U245" s="128"/>
      <c r="V245" s="999">
        <f t="shared" si="869" ref="V245:AT245">V242+V243+V244</f>
        <v>3</v>
      </c>
      <c r="W245" s="57">
        <f t="shared" si="869"/>
        <v>-25</v>
      </c>
      <c r="X245" s="57">
        <f t="shared" si="869"/>
        <v>-23</v>
      </c>
      <c r="Y245" s="57">
        <f t="shared" si="869"/>
        <v>-32</v>
      </c>
      <c r="Z245" s="57">
        <f t="shared" si="869"/>
        <v>95</v>
      </c>
      <c r="AA245" s="999">
        <f t="shared" si="869"/>
        <v>15</v>
      </c>
      <c r="AB245" s="57">
        <f t="shared" si="869"/>
        <v>-22</v>
      </c>
      <c r="AC245" s="57">
        <f t="shared" si="869"/>
        <v>-15</v>
      </c>
      <c r="AD245" s="57">
        <f t="shared" si="869"/>
        <v>-20</v>
      </c>
      <c r="AE245" s="57">
        <f t="shared" si="869"/>
        <v>-22</v>
      </c>
      <c r="AF245" s="999">
        <f t="shared" si="869"/>
        <v>-79</v>
      </c>
      <c r="AG245" s="57">
        <f t="shared" si="869"/>
        <v>-6</v>
      </c>
      <c r="AH245" s="57">
        <f t="shared" si="869"/>
        <v>-46</v>
      </c>
      <c r="AI245" s="57">
        <f t="shared" si="869"/>
        <v>-13</v>
      </c>
      <c r="AJ245" s="57">
        <f t="shared" si="869"/>
        <v>-12</v>
      </c>
      <c r="AK245" s="999">
        <f t="shared" si="869"/>
        <v>-77</v>
      </c>
      <c r="AL245" s="57">
        <f t="shared" si="869"/>
        <v>-3</v>
      </c>
      <c r="AM245" s="57">
        <f t="shared" si="869"/>
        <v>32</v>
      </c>
      <c r="AN245" s="57">
        <f t="shared" si="869"/>
        <v>30</v>
      </c>
      <c r="AO245" s="57">
        <f t="shared" si="869"/>
        <v>33</v>
      </c>
      <c r="AP245" s="999">
        <f t="shared" si="869"/>
        <v>92</v>
      </c>
      <c r="AQ245" s="57">
        <f t="shared" si="869"/>
        <v>49</v>
      </c>
      <c r="AR245" s="57">
        <f t="shared" si="869"/>
        <v>56</v>
      </c>
      <c r="AS245" s="57">
        <f t="shared" si="869"/>
        <v>45</v>
      </c>
      <c r="AT245" s="57">
        <f t="shared" si="869"/>
        <v>29</v>
      </c>
      <c r="AU245" s="999">
        <f t="shared" si="870" ref="AU245:AY245">AU242+AU243+AU244</f>
        <v>179</v>
      </c>
      <c r="AV245" s="57">
        <f t="shared" si="870"/>
        <v>53</v>
      </c>
      <c r="AW245" s="57">
        <f t="shared" si="870"/>
        <v>43</v>
      </c>
      <c r="AX245" s="57">
        <f t="shared" si="870"/>
        <v>35</v>
      </c>
      <c r="AY245" s="57">
        <f t="shared" si="870"/>
        <v>38</v>
      </c>
      <c r="AZ245" s="999">
        <f t="shared" si="871" ref="AZ245:BE245">AZ242+AZ243+AZ244</f>
        <v>169</v>
      </c>
      <c r="BA245" s="57">
        <f t="shared" si="871"/>
        <v>34</v>
      </c>
      <c r="BB245" s="57">
        <f t="shared" si="871"/>
        <v>41</v>
      </c>
      <c r="BC245" s="57">
        <f t="shared" si="871"/>
        <v>27</v>
      </c>
      <c r="BD245" s="128">
        <f t="shared" si="871"/>
        <v>4</v>
      </c>
      <c r="BE245" s="1000">
        <f t="shared" si="871"/>
        <v>106</v>
      </c>
      <c r="BF245" s="57">
        <f>BF242+BF243+BF244</f>
        <v>54</v>
      </c>
      <c r="BG245" s="57">
        <f>BG242+BG243+BG244</f>
        <v>55</v>
      </c>
      <c r="BH245" s="745">
        <f>BH242+BH243+BH244</f>
        <v>58</v>
      </c>
      <c r="BI245" s="128"/>
      <c r="BJ245" s="1000"/>
      <c r="BK245" s="128"/>
      <c r="BL245" s="128"/>
      <c r="BM245" s="128"/>
      <c r="BN245" s="128"/>
      <c r="BO245" s="1000"/>
      <c r="BP245" s="1000"/>
      <c r="BQ245" s="1000"/>
      <c r="BR245" s="1000"/>
      <c r="BS245" s="57"/>
    </row>
    <row r="246" spans="1:71" s="300" customFormat="1" ht="15">
      <c r="A246" s="304" t="s">
        <v>693</v>
      </c>
      <c r="B246" s="233"/>
      <c r="C246" s="989"/>
      <c r="D246" s="989"/>
      <c r="E246" s="989"/>
      <c r="F246" s="989"/>
      <c r="G246" s="989"/>
      <c r="H246" s="92"/>
      <c r="I246" s="92"/>
      <c r="J246" s="92"/>
      <c r="K246" s="92"/>
      <c r="L246" s="989"/>
      <c r="M246" s="92"/>
      <c r="N246" s="92"/>
      <c r="O246" s="92"/>
      <c r="P246" s="92"/>
      <c r="Q246" s="989"/>
      <c r="R246" s="92"/>
      <c r="S246" s="92"/>
      <c r="T246" s="92"/>
      <c r="U246" s="92"/>
      <c r="V246" s="988">
        <v>0</v>
      </c>
      <c r="W246" s="897">
        <v>0</v>
      </c>
      <c r="X246" s="897">
        <v>0</v>
      </c>
      <c r="Y246" s="897">
        <v>0</v>
      </c>
      <c r="Z246" s="305">
        <f>AA246-SUM(W246,X246,Y246)</f>
        <v>0</v>
      </c>
      <c r="AA246" s="988">
        <v>0</v>
      </c>
      <c r="AB246" s="897">
        <v>3</v>
      </c>
      <c r="AC246" s="897">
        <v>1</v>
      </c>
      <c r="AD246" s="897">
        <v>1</v>
      </c>
      <c r="AE246" s="305">
        <f>AF246-SUM(AB246,AC246,AD246)</f>
        <v>4</v>
      </c>
      <c r="AF246" s="988">
        <v>9</v>
      </c>
      <c r="AG246" s="897">
        <v>-7</v>
      </c>
      <c r="AH246" s="897">
        <v>-6</v>
      </c>
      <c r="AI246" s="897">
        <v>-4</v>
      </c>
      <c r="AJ246" s="305">
        <f>AK246-SUM(AG246,AH246,AI246)</f>
        <v>-8</v>
      </c>
      <c r="AK246" s="988">
        <v>-25</v>
      </c>
      <c r="AL246" s="897">
        <v>19</v>
      </c>
      <c r="AM246" s="897">
        <v>-15</v>
      </c>
      <c r="AN246" s="897">
        <v>-11</v>
      </c>
      <c r="AO246" s="305">
        <f>AP246-SUM(AL246,AM246,AN246)</f>
        <v>-16</v>
      </c>
      <c r="AP246" s="988">
        <v>-23</v>
      </c>
      <c r="AQ246" s="92"/>
      <c r="AR246" s="92"/>
      <c r="AS246" s="92"/>
      <c r="AT246" s="305">
        <f>AU246-SUM(AQ246,AR246,AS246)</f>
        <v>0</v>
      </c>
      <c r="AU246" s="989"/>
      <c r="AV246" s="92"/>
      <c r="AW246" s="92"/>
      <c r="AX246" s="92"/>
      <c r="AY246" s="305">
        <f>AZ246-SUM(AV246,AW246,AX246)</f>
        <v>0</v>
      </c>
      <c r="AZ246" s="989"/>
      <c r="BA246" s="92"/>
      <c r="BB246" s="92"/>
      <c r="BC246" s="92"/>
      <c r="BD246" s="92"/>
      <c r="BE246" s="989"/>
      <c r="BF246" s="92"/>
      <c r="BG246" s="92"/>
      <c r="BH246" s="464"/>
      <c r="BI246" s="92"/>
      <c r="BJ246" s="989"/>
      <c r="BK246" s="92"/>
      <c r="BL246" s="92"/>
      <c r="BM246" s="92"/>
      <c r="BN246" s="92"/>
      <c r="BO246" s="989"/>
      <c r="BP246" s="989"/>
      <c r="BQ246" s="989"/>
      <c r="BR246" s="989"/>
      <c r="BS246" s="305"/>
    </row>
    <row r="247" spans="1:71" s="300" customFormat="1" ht="15">
      <c r="A247" s="304" t="s">
        <v>694</v>
      </c>
      <c r="B247" s="233"/>
      <c r="C247" s="989"/>
      <c r="D247" s="989"/>
      <c r="E247" s="989"/>
      <c r="F247" s="989"/>
      <c r="G247" s="989"/>
      <c r="H247" s="92"/>
      <c r="I247" s="92"/>
      <c r="J247" s="92"/>
      <c r="K247" s="92"/>
      <c r="L247" s="989"/>
      <c r="M247" s="92"/>
      <c r="N247" s="92"/>
      <c r="O247" s="92"/>
      <c r="P247" s="92"/>
      <c r="Q247" s="989"/>
      <c r="R247" s="92"/>
      <c r="S247" s="92"/>
      <c r="T247" s="92"/>
      <c r="U247" s="92"/>
      <c r="V247" s="988">
        <v>0</v>
      </c>
      <c r="W247" s="897">
        <v>15</v>
      </c>
      <c r="X247" s="897">
        <v>15</v>
      </c>
      <c r="Y247" s="897">
        <v>15</v>
      </c>
      <c r="Z247" s="305">
        <f>AA247-SUM(W247,X247,Y247)</f>
        <v>15</v>
      </c>
      <c r="AA247" s="988">
        <v>60</v>
      </c>
      <c r="AB247" s="897">
        <v>16</v>
      </c>
      <c r="AC247" s="897">
        <v>16</v>
      </c>
      <c r="AD247" s="897">
        <v>16</v>
      </c>
      <c r="AE247" s="305">
        <f>AF247-SUM(AB247,AC247,AD247)</f>
        <v>26</v>
      </c>
      <c r="AF247" s="988">
        <v>74</v>
      </c>
      <c r="AG247" s="897">
        <v>24</v>
      </c>
      <c r="AH247" s="897">
        <v>25</v>
      </c>
      <c r="AI247" s="897">
        <v>25</v>
      </c>
      <c r="AJ247" s="305">
        <f>AK247-SUM(AG247,AH247,AI247)</f>
        <v>23</v>
      </c>
      <c r="AK247" s="988">
        <v>97</v>
      </c>
      <c r="AL247" s="897">
        <v>21</v>
      </c>
      <c r="AM247" s="897">
        <v>21</v>
      </c>
      <c r="AN247" s="897">
        <v>21</v>
      </c>
      <c r="AO247" s="305">
        <f>AP247-SUM(AL247,AM247,AN247)</f>
        <v>21</v>
      </c>
      <c r="AP247" s="988">
        <v>84</v>
      </c>
      <c r="AQ247" s="92"/>
      <c r="AR247" s="92"/>
      <c r="AS247" s="92"/>
      <c r="AT247" s="305">
        <f>AU247-SUM(AQ247,AR247,AS247)</f>
        <v>0</v>
      </c>
      <c r="AU247" s="989"/>
      <c r="AV247" s="92"/>
      <c r="AW247" s="92"/>
      <c r="AX247" s="92"/>
      <c r="AY247" s="305">
        <f>AZ247-SUM(AV247,AW247,AX247)</f>
        <v>0</v>
      </c>
      <c r="AZ247" s="989"/>
      <c r="BA247" s="92"/>
      <c r="BB247" s="92"/>
      <c r="BC247" s="92"/>
      <c r="BD247" s="92"/>
      <c r="BE247" s="989"/>
      <c r="BF247" s="92"/>
      <c r="BG247" s="92"/>
      <c r="BH247" s="464"/>
      <c r="BI247" s="92"/>
      <c r="BJ247" s="989"/>
      <c r="BK247" s="92"/>
      <c r="BL247" s="92"/>
      <c r="BM247" s="92"/>
      <c r="BN247" s="92"/>
      <c r="BO247" s="989"/>
      <c r="BP247" s="989"/>
      <c r="BQ247" s="989"/>
      <c r="BR247" s="989"/>
      <c r="BS247" s="305"/>
    </row>
    <row r="248" spans="1:71" s="300" customFormat="1" ht="15">
      <c r="A248" s="304" t="s">
        <v>695</v>
      </c>
      <c r="B248" s="233"/>
      <c r="C248" s="989"/>
      <c r="D248" s="989"/>
      <c r="E248" s="989"/>
      <c r="F248" s="989"/>
      <c r="G248" s="989"/>
      <c r="H248" s="92"/>
      <c r="I248" s="92"/>
      <c r="J248" s="92"/>
      <c r="K248" s="92"/>
      <c r="L248" s="989"/>
      <c r="M248" s="92"/>
      <c r="N248" s="92"/>
      <c r="O248" s="92"/>
      <c r="P248" s="92"/>
      <c r="Q248" s="989"/>
      <c r="R248" s="92"/>
      <c r="S248" s="92"/>
      <c r="T248" s="92"/>
      <c r="U248" s="92"/>
      <c r="V248" s="989"/>
      <c r="W248" s="92"/>
      <c r="X248" s="92"/>
      <c r="Y248" s="92"/>
      <c r="Z248" s="305">
        <f>AA248-SUM(W248,X248,Y248)</f>
        <v>0</v>
      </c>
      <c r="AA248" s="989"/>
      <c r="AB248" s="897">
        <v>0</v>
      </c>
      <c r="AC248" s="897">
        <v>0</v>
      </c>
      <c r="AD248" s="897">
        <v>0</v>
      </c>
      <c r="AE248" s="305">
        <f>AF248-SUM(AB248,AC248,AD248)</f>
        <v>0</v>
      </c>
      <c r="AF248" s="988">
        <v>0</v>
      </c>
      <c r="AG248" s="897">
        <v>0</v>
      </c>
      <c r="AH248" s="897">
        <v>43</v>
      </c>
      <c r="AI248" s="897">
        <v>0</v>
      </c>
      <c r="AJ248" s="305">
        <f>AK248-SUM(AG248,AH248,AI248)</f>
        <v>0</v>
      </c>
      <c r="AK248" s="988">
        <v>43</v>
      </c>
      <c r="AL248" s="897">
        <v>0</v>
      </c>
      <c r="AM248" s="92"/>
      <c r="AN248" s="92"/>
      <c r="AO248" s="305">
        <f>AP248-SUM(AL248,AM248,AN248)</f>
        <v>0</v>
      </c>
      <c r="AP248" s="988">
        <v>0</v>
      </c>
      <c r="AQ248" s="92"/>
      <c r="AR248" s="92"/>
      <c r="AS248" s="92"/>
      <c r="AT248" s="305">
        <f>AU248-SUM(AQ248,AR248,AS248)</f>
        <v>0</v>
      </c>
      <c r="AU248" s="989"/>
      <c r="AV248" s="92"/>
      <c r="AW248" s="92"/>
      <c r="AX248" s="92"/>
      <c r="AY248" s="305">
        <f>AZ248-SUM(AV248,AW248,AX248)</f>
        <v>0</v>
      </c>
      <c r="AZ248" s="989"/>
      <c r="BA248" s="92"/>
      <c r="BB248" s="92"/>
      <c r="BC248" s="92"/>
      <c r="BD248" s="92"/>
      <c r="BE248" s="989"/>
      <c r="BF248" s="92"/>
      <c r="BG248" s="92"/>
      <c r="BH248" s="464"/>
      <c r="BI248" s="92"/>
      <c r="BJ248" s="989"/>
      <c r="BK248" s="92"/>
      <c r="BL248" s="92"/>
      <c r="BM248" s="92"/>
      <c r="BN248" s="92"/>
      <c r="BO248" s="989"/>
      <c r="BP248" s="989"/>
      <c r="BQ248" s="989"/>
      <c r="BR248" s="989"/>
      <c r="BS248" s="305"/>
    </row>
    <row r="249" spans="1:71" s="300" customFormat="1" ht="15">
      <c r="A249" s="304" t="s">
        <v>696</v>
      </c>
      <c r="B249" s="233"/>
      <c r="C249" s="989"/>
      <c r="D249" s="989"/>
      <c r="E249" s="989"/>
      <c r="F249" s="989"/>
      <c r="G249" s="989"/>
      <c r="H249" s="92"/>
      <c r="I249" s="92"/>
      <c r="J249" s="92"/>
      <c r="K249" s="92"/>
      <c r="L249" s="989"/>
      <c r="M249" s="92"/>
      <c r="N249" s="92"/>
      <c r="O249" s="92"/>
      <c r="P249" s="92"/>
      <c r="Q249" s="989"/>
      <c r="R249" s="92"/>
      <c r="S249" s="92"/>
      <c r="T249" s="92"/>
      <c r="U249" s="92"/>
      <c r="V249" s="988">
        <v>0</v>
      </c>
      <c r="W249" s="897">
        <v>0</v>
      </c>
      <c r="X249" s="897">
        <v>0</v>
      </c>
      <c r="Y249" s="897">
        <v>0</v>
      </c>
      <c r="Z249" s="305">
        <f>AA249-SUM(W249,X249,Y249)</f>
        <v>-134</v>
      </c>
      <c r="AA249" s="988">
        <v>-134</v>
      </c>
      <c r="AB249" s="897">
        <v>0</v>
      </c>
      <c r="AC249" s="897">
        <v>0</v>
      </c>
      <c r="AD249" s="897">
        <v>4</v>
      </c>
      <c r="AE249" s="305">
        <f>AF249-SUM(AB249,AC249,AD249)</f>
        <v>0</v>
      </c>
      <c r="AF249" s="988">
        <v>4</v>
      </c>
      <c r="AG249" s="897">
        <v>0</v>
      </c>
      <c r="AH249" s="897">
        <v>0</v>
      </c>
      <c r="AI249" s="897">
        <v>0</v>
      </c>
      <c r="AJ249" s="305">
        <f>AK249-SUM(AG249,AH249,AI249)</f>
        <v>0</v>
      </c>
      <c r="AK249" s="988">
        <v>0</v>
      </c>
      <c r="AL249" s="897">
        <v>0</v>
      </c>
      <c r="AM249" s="92"/>
      <c r="AN249" s="92"/>
      <c r="AO249" s="305">
        <f>AP249-SUM(AL249,AM249,AN249)</f>
        <v>0</v>
      </c>
      <c r="AP249" s="989"/>
      <c r="AQ249" s="92"/>
      <c r="AR249" s="92"/>
      <c r="AS249" s="92"/>
      <c r="AT249" s="305">
        <f>AU249-SUM(AQ249,AR249,AS249)</f>
        <v>0</v>
      </c>
      <c r="AU249" s="989"/>
      <c r="AV249" s="92"/>
      <c r="AW249" s="92"/>
      <c r="AX249" s="92"/>
      <c r="AY249" s="305">
        <f>AZ249-SUM(AV249,AW249,AX249)</f>
        <v>0</v>
      </c>
      <c r="AZ249" s="989"/>
      <c r="BA249" s="92"/>
      <c r="BB249" s="92"/>
      <c r="BC249" s="92"/>
      <c r="BD249" s="92"/>
      <c r="BE249" s="989"/>
      <c r="BF249" s="92"/>
      <c r="BG249" s="92"/>
      <c r="BH249" s="464"/>
      <c r="BI249" s="92"/>
      <c r="BJ249" s="989"/>
      <c r="BK249" s="92"/>
      <c r="BL249" s="92"/>
      <c r="BM249" s="92"/>
      <c r="BN249" s="92"/>
      <c r="BO249" s="989"/>
      <c r="BP249" s="989"/>
      <c r="BQ249" s="989"/>
      <c r="BR249" s="989"/>
      <c r="BS249" s="305"/>
    </row>
    <row r="250" spans="1:71" s="51" customFormat="1" ht="15">
      <c r="A250" s="87" t="s">
        <v>697</v>
      </c>
      <c r="B250" s="164"/>
      <c r="C250" s="996">
        <f t="shared" si="872" ref="C250:AK250">SUM(C245:C249)</f>
        <v>0</v>
      </c>
      <c r="D250" s="996">
        <f t="shared" si="872"/>
        <v>0</v>
      </c>
      <c r="E250" s="996">
        <f t="shared" si="872"/>
        <v>0</v>
      </c>
      <c r="F250" s="996">
        <f t="shared" si="872"/>
        <v>0</v>
      </c>
      <c r="G250" s="996">
        <f t="shared" si="872"/>
        <v>0</v>
      </c>
      <c r="H250" s="89">
        <f t="shared" si="872"/>
        <v>0</v>
      </c>
      <c r="I250" s="89">
        <f t="shared" si="872"/>
        <v>0</v>
      </c>
      <c r="J250" s="89">
        <f t="shared" si="872"/>
        <v>0</v>
      </c>
      <c r="K250" s="89">
        <f t="shared" si="872"/>
        <v>0</v>
      </c>
      <c r="L250" s="996">
        <f t="shared" si="872"/>
        <v>0</v>
      </c>
      <c r="M250" s="89">
        <f t="shared" si="872"/>
        <v>0</v>
      </c>
      <c r="N250" s="89">
        <f t="shared" si="872"/>
        <v>0</v>
      </c>
      <c r="O250" s="89">
        <f t="shared" si="872"/>
        <v>0</v>
      </c>
      <c r="P250" s="89">
        <f t="shared" si="872"/>
        <v>0</v>
      </c>
      <c r="Q250" s="997"/>
      <c r="R250" s="90"/>
      <c r="S250" s="90"/>
      <c r="T250" s="90"/>
      <c r="U250" s="90"/>
      <c r="V250" s="996">
        <f t="shared" si="872"/>
        <v>3</v>
      </c>
      <c r="W250" s="89">
        <f t="shared" si="872"/>
        <v>-10</v>
      </c>
      <c r="X250" s="89">
        <f t="shared" si="872"/>
        <v>-8</v>
      </c>
      <c r="Y250" s="89">
        <f t="shared" si="872"/>
        <v>-17</v>
      </c>
      <c r="Z250" s="89">
        <f t="shared" si="872"/>
        <v>-24</v>
      </c>
      <c r="AA250" s="996">
        <f t="shared" si="872"/>
        <v>-59</v>
      </c>
      <c r="AB250" s="89">
        <f t="shared" si="872"/>
        <v>-3</v>
      </c>
      <c r="AC250" s="89">
        <f t="shared" si="872"/>
        <v>2</v>
      </c>
      <c r="AD250" s="89">
        <f t="shared" si="872"/>
        <v>1</v>
      </c>
      <c r="AE250" s="89">
        <f t="shared" si="873" ref="AE250">SUM(AE245:AE249)</f>
        <v>8</v>
      </c>
      <c r="AF250" s="996">
        <f t="shared" si="872"/>
        <v>8</v>
      </c>
      <c r="AG250" s="89">
        <f t="shared" si="872"/>
        <v>11</v>
      </c>
      <c r="AH250" s="89">
        <f t="shared" si="872"/>
        <v>16</v>
      </c>
      <c r="AI250" s="89">
        <f t="shared" si="872"/>
        <v>8</v>
      </c>
      <c r="AJ250" s="89">
        <f t="shared" si="872"/>
        <v>3</v>
      </c>
      <c r="AK250" s="996">
        <f t="shared" si="872"/>
        <v>38</v>
      </c>
      <c r="AL250" s="89">
        <f>SUM(AL245:AL249)</f>
        <v>37</v>
      </c>
      <c r="AM250" s="89">
        <f>SUM(AM245:AM249)</f>
        <v>38</v>
      </c>
      <c r="AN250" s="89">
        <f>SUM(AN245:AN249)</f>
        <v>40</v>
      </c>
      <c r="AO250" s="89">
        <f t="shared" si="874" ref="AO250:AQ250">SUM(AO245:AO249)</f>
        <v>38</v>
      </c>
      <c r="AP250" s="996">
        <f t="shared" si="874"/>
        <v>153</v>
      </c>
      <c r="AQ250" s="89">
        <f t="shared" si="874"/>
        <v>49</v>
      </c>
      <c r="AR250" s="89">
        <f t="shared" si="875" ref="AR250:AW250">SUM(AR245:AR249)</f>
        <v>56</v>
      </c>
      <c r="AS250" s="89">
        <f t="shared" si="875"/>
        <v>45</v>
      </c>
      <c r="AT250" s="89">
        <f t="shared" si="875"/>
        <v>29</v>
      </c>
      <c r="AU250" s="996">
        <f t="shared" si="875"/>
        <v>179</v>
      </c>
      <c r="AV250" s="89">
        <f t="shared" si="875"/>
        <v>53</v>
      </c>
      <c r="AW250" s="89">
        <f t="shared" si="875"/>
        <v>43</v>
      </c>
      <c r="AX250" s="89">
        <f t="shared" si="876" ref="AX250:BE250">SUM(AX245:AX249)</f>
        <v>35</v>
      </c>
      <c r="AY250" s="89">
        <f t="shared" si="876"/>
        <v>38</v>
      </c>
      <c r="AZ250" s="996">
        <f t="shared" si="876"/>
        <v>169</v>
      </c>
      <c r="BA250" s="89">
        <f t="shared" si="876"/>
        <v>34</v>
      </c>
      <c r="BB250" s="89">
        <f t="shared" si="876"/>
        <v>41</v>
      </c>
      <c r="BC250" s="89">
        <f t="shared" si="876"/>
        <v>27</v>
      </c>
      <c r="BD250" s="89">
        <f t="shared" si="876"/>
        <v>4</v>
      </c>
      <c r="BE250" s="996">
        <f t="shared" si="876"/>
        <v>106</v>
      </c>
      <c r="BF250" s="89">
        <f>SUM(BF245:BF249)</f>
        <v>54</v>
      </c>
      <c r="BG250" s="89">
        <f>SUM(BG245:BG249)</f>
        <v>55</v>
      </c>
      <c r="BH250" s="742">
        <f>SUM(BH245:BH249)</f>
        <v>58</v>
      </c>
      <c r="BI250" s="90"/>
      <c r="BJ250" s="997"/>
      <c r="BK250" s="90"/>
      <c r="BL250" s="90"/>
      <c r="BM250" s="90"/>
      <c r="BN250" s="90"/>
      <c r="BO250" s="997"/>
      <c r="BP250" s="997"/>
      <c r="BQ250" s="997"/>
      <c r="BR250" s="997"/>
      <c r="BS250" s="57"/>
    </row>
    <row r="251" spans="1:71" s="51" customFormat="1" ht="15">
      <c r="A251" s="480"/>
      <c r="B251" s="391"/>
      <c r="C251" s="1000"/>
      <c r="D251" s="1000"/>
      <c r="E251" s="1000"/>
      <c r="F251" s="1000"/>
      <c r="G251" s="1000"/>
      <c r="H251" s="128"/>
      <c r="I251" s="128"/>
      <c r="J251" s="128"/>
      <c r="K251" s="128"/>
      <c r="L251" s="1000"/>
      <c r="M251" s="128"/>
      <c r="N251" s="128"/>
      <c r="O251" s="128"/>
      <c r="P251" s="128"/>
      <c r="Q251" s="1000"/>
      <c r="R251" s="128"/>
      <c r="S251" s="128"/>
      <c r="T251" s="128"/>
      <c r="U251" s="128"/>
      <c r="V251" s="1000"/>
      <c r="W251" s="128"/>
      <c r="X251" s="128"/>
      <c r="Y251" s="128"/>
      <c r="Z251" s="128"/>
      <c r="AA251" s="1000"/>
      <c r="AB251" s="128"/>
      <c r="AC251" s="128"/>
      <c r="AD251" s="128"/>
      <c r="AE251" s="128"/>
      <c r="AF251" s="1000"/>
      <c r="AG251" s="128"/>
      <c r="AH251" s="128"/>
      <c r="AI251" s="128"/>
      <c r="AJ251" s="128"/>
      <c r="AK251" s="1000"/>
      <c r="AL251" s="128"/>
      <c r="AM251" s="128"/>
      <c r="AN251" s="128"/>
      <c r="AO251" s="128"/>
      <c r="AP251" s="1000"/>
      <c r="AQ251" s="128"/>
      <c r="AR251" s="128"/>
      <c r="AS251" s="128"/>
      <c r="AT251" s="128"/>
      <c r="AU251" s="1000"/>
      <c r="AV251" s="128"/>
      <c r="AW251" s="128"/>
      <c r="AX251" s="128"/>
      <c r="AY251" s="128"/>
      <c r="AZ251" s="1000"/>
      <c r="BA251" s="128"/>
      <c r="BB251" s="128"/>
      <c r="BC251" s="128"/>
      <c r="BD251" s="128"/>
      <c r="BE251" s="1000"/>
      <c r="BF251" s="128"/>
      <c r="BG251" s="128"/>
      <c r="BH251" s="465"/>
      <c r="BI251" s="128"/>
      <c r="BJ251" s="1000"/>
      <c r="BK251" s="128"/>
      <c r="BL251" s="128"/>
      <c r="BM251" s="128"/>
      <c r="BN251" s="128"/>
      <c r="BO251" s="1000"/>
      <c r="BP251" s="1000"/>
      <c r="BQ251" s="1000"/>
      <c r="BR251" s="1000"/>
      <c r="BS251" s="57"/>
    </row>
    <row r="252" spans="1:71" s="29" customFormat="1" ht="15">
      <c r="A252" s="42" t="s">
        <v>698</v>
      </c>
      <c r="B252" s="232"/>
      <c r="C252" s="1025"/>
      <c r="D252" s="1025"/>
      <c r="E252" s="1025"/>
      <c r="F252" s="1025"/>
      <c r="G252" s="1025"/>
      <c r="H252" s="650"/>
      <c r="I252" s="650"/>
      <c r="J252" s="650"/>
      <c r="K252" s="650"/>
      <c r="L252" s="1025"/>
      <c r="M252" s="650"/>
      <c r="N252" s="650"/>
      <c r="O252" s="650"/>
      <c r="P252" s="650"/>
      <c r="Q252" s="1025"/>
      <c r="R252" s="650"/>
      <c r="S252" s="650"/>
      <c r="T252" s="650"/>
      <c r="U252" s="650"/>
      <c r="V252" s="1025"/>
      <c r="W252" s="650"/>
      <c r="X252" s="650"/>
      <c r="Y252" s="650"/>
      <c r="Z252" s="650"/>
      <c r="AA252" s="1025"/>
      <c r="AB252" s="649">
        <f t="shared" si="877" ref="AB252:AK253">AB231/W231-1</f>
        <v>0</v>
      </c>
      <c r="AC252" s="649">
        <f t="shared" si="877"/>
        <v>-0.058823529411764719</v>
      </c>
      <c r="AD252" s="649">
        <f t="shared" si="877"/>
        <v>-0.058823529411764719</v>
      </c>
      <c r="AE252" s="649">
        <f t="shared" si="877"/>
        <v>1.125</v>
      </c>
      <c r="AF252" s="1033">
        <f t="shared" si="877"/>
        <v>0.24242424242424243</v>
      </c>
      <c r="AG252" s="649">
        <f t="shared" si="877"/>
        <v>1.9375</v>
      </c>
      <c r="AH252" s="649">
        <f t="shared" si="877"/>
        <v>2</v>
      </c>
      <c r="AI252" s="649">
        <f t="shared" si="877"/>
        <v>1.9375</v>
      </c>
      <c r="AJ252" s="649">
        <f t="shared" si="877"/>
        <v>0.35294117647058831</v>
      </c>
      <c r="AK252" s="1033">
        <f t="shared" si="877"/>
        <v>1.2926829268292681</v>
      </c>
      <c r="AL252" s="649">
        <f t="shared" si="878" ref="AL252:AU253">AL231/AG231-1</f>
        <v>0.1063829787234043</v>
      </c>
      <c r="AM252" s="649">
        <f t="shared" si="878"/>
        <v>0.0625</v>
      </c>
      <c r="AN252" s="649">
        <f t="shared" si="878"/>
        <v>0.1063829787234043</v>
      </c>
      <c r="AO252" s="649">
        <f t="shared" si="878"/>
        <v>0.15217391304347827</v>
      </c>
      <c r="AP252" s="1033">
        <f t="shared" si="878"/>
        <v>0.1063829787234043</v>
      </c>
      <c r="AQ252" s="649">
        <f t="shared" si="878"/>
        <v>0.73076923076923084</v>
      </c>
      <c r="AR252" s="649">
        <f t="shared" si="878"/>
        <v>0.72549019607843146</v>
      </c>
      <c r="AS252" s="649">
        <f t="shared" si="878"/>
        <v>0.63461538461538458</v>
      </c>
      <c r="AT252" s="649">
        <f t="shared" si="878"/>
        <v>0.71698113207547176</v>
      </c>
      <c r="AU252" s="1033">
        <f t="shared" si="878"/>
        <v>0.70192307692307687</v>
      </c>
      <c r="AV252" s="649">
        <f t="shared" si="879" ref="AV252:AX253">AV231/AQ231-1</f>
        <v>0.044444444444444509</v>
      </c>
      <c r="AW252" s="649">
        <f t="shared" si="879"/>
        <v>0.034090909090909172</v>
      </c>
      <c r="AX252" s="649">
        <f t="shared" si="879"/>
        <v>-0.011764705882352899</v>
      </c>
      <c r="AY252" s="649">
        <f t="shared" si="880" ref="AY252:BA253">AY231/AT231-1</f>
        <v>-0.1428571428571429</v>
      </c>
      <c r="AZ252" s="1033">
        <f t="shared" si="880"/>
        <v>-0.019774011299435013</v>
      </c>
      <c r="BA252" s="649">
        <f t="shared" si="880"/>
        <v>-0.1063829787234043</v>
      </c>
      <c r="BB252" s="649">
        <f t="shared" si="881" ref="BB252:BE253">BB231/AW231-1</f>
        <v>-0.076923076923076872</v>
      </c>
      <c r="BC252" s="649">
        <f t="shared" si="881"/>
        <v>-0.1071428571428571</v>
      </c>
      <c r="BD252" s="649">
        <f t="shared" si="881"/>
        <v>-0.025641025641025661</v>
      </c>
      <c r="BE252" s="1033">
        <f t="shared" si="881"/>
        <v>-0.080691642651296802</v>
      </c>
      <c r="BF252" s="649">
        <f t="shared" si="882" ref="BF252:BH253">BF231/BA231-1</f>
        <v>0.011904761904761862</v>
      </c>
      <c r="BG252" s="649">
        <f t="shared" si="882"/>
        <v>0.16666666666666674</v>
      </c>
      <c r="BH252" s="753">
        <f t="shared" si="882"/>
        <v>0.46666666666666656</v>
      </c>
      <c r="BI252" s="925">
        <v>0.40</v>
      </c>
      <c r="BJ252" s="1025">
        <f>BJ231/BE231-1</f>
        <v>0.25203761755485887</v>
      </c>
      <c r="BK252" s="925">
        <v>0.05</v>
      </c>
      <c r="BL252" s="925">
        <v>0.05</v>
      </c>
      <c r="BM252" s="925">
        <v>0.05</v>
      </c>
      <c r="BN252" s="925">
        <v>0.05</v>
      </c>
      <c r="BO252" s="1025">
        <f>BO231/BJ231-1</f>
        <v>0.050000000000000044</v>
      </c>
      <c r="BP252" s="1034">
        <v>0.05</v>
      </c>
      <c r="BQ252" s="1034">
        <v>0.05</v>
      </c>
      <c r="BR252" s="1034">
        <v>0.05</v>
      </c>
      <c r="BS252" s="649"/>
    </row>
    <row r="253" spans="1:71" s="29" customFormat="1" ht="15">
      <c r="A253" s="42" t="s">
        <v>699</v>
      </c>
      <c r="B253" s="232"/>
      <c r="C253" s="1025"/>
      <c r="D253" s="1025"/>
      <c r="E253" s="1025"/>
      <c r="F253" s="1025"/>
      <c r="G253" s="1025"/>
      <c r="H253" s="650"/>
      <c r="I253" s="650"/>
      <c r="J253" s="650"/>
      <c r="K253" s="650"/>
      <c r="L253" s="1025"/>
      <c r="M253" s="650"/>
      <c r="N253" s="650"/>
      <c r="O253" s="650"/>
      <c r="P253" s="650"/>
      <c r="Q253" s="1025"/>
      <c r="R253" s="650"/>
      <c r="S253" s="650"/>
      <c r="T253" s="650"/>
      <c r="U253" s="650"/>
      <c r="V253" s="1025"/>
      <c r="W253" s="650"/>
      <c r="X253" s="650"/>
      <c r="Y253" s="650"/>
      <c r="Z253" s="650"/>
      <c r="AA253" s="1033">
        <f>AA232/V232-1</f>
        <v>0.047619047619047672</v>
      </c>
      <c r="AB253" s="649">
        <f t="shared" si="877"/>
        <v>0.035714285714285809</v>
      </c>
      <c r="AC253" s="649">
        <f t="shared" si="877"/>
        <v>0.035714285714285809</v>
      </c>
      <c r="AD253" s="649">
        <f t="shared" si="877"/>
        <v>0.19230769230769229</v>
      </c>
      <c r="AE253" s="649">
        <f t="shared" si="877"/>
        <v>0.1785714285714286</v>
      </c>
      <c r="AF253" s="1033">
        <f t="shared" si="877"/>
        <v>0.10909090909090913</v>
      </c>
      <c r="AG253" s="649">
        <f t="shared" si="877"/>
        <v>0.13793103448275867</v>
      </c>
      <c r="AH253" s="649">
        <f t="shared" si="877"/>
        <v>0.13793103448275867</v>
      </c>
      <c r="AI253" s="649">
        <f t="shared" si="877"/>
        <v>0.41935483870967749</v>
      </c>
      <c r="AJ253" s="649">
        <f t="shared" si="877"/>
        <v>0.33333333333333326</v>
      </c>
      <c r="AK253" s="1033">
        <f t="shared" si="877"/>
        <v>0.26229508196721318</v>
      </c>
      <c r="AL253" s="649">
        <f t="shared" si="878"/>
        <v>0.1515151515151516</v>
      </c>
      <c r="AM253" s="649">
        <f t="shared" si="878"/>
        <v>0.060606060606060552</v>
      </c>
      <c r="AN253" s="649">
        <f t="shared" si="878"/>
        <v>-0.18181818181818177</v>
      </c>
      <c r="AO253" s="649">
        <f t="shared" si="878"/>
        <v>-0.13636363636363635</v>
      </c>
      <c r="AP253" s="1033">
        <f t="shared" si="878"/>
        <v>-0.045454545454545414</v>
      </c>
      <c r="AQ253" s="649">
        <f t="shared" si="878"/>
        <v>0.078947368421052655</v>
      </c>
      <c r="AR253" s="649">
        <f t="shared" si="878"/>
        <v>0.31428571428571428</v>
      </c>
      <c r="AS253" s="649">
        <f t="shared" si="878"/>
        <v>0.27777777777777768</v>
      </c>
      <c r="AT253" s="649">
        <f t="shared" si="878"/>
        <v>0.10526315789473695</v>
      </c>
      <c r="AU253" s="1033">
        <f t="shared" si="878"/>
        <v>0.19047619047619047</v>
      </c>
      <c r="AV253" s="649">
        <f t="shared" si="879"/>
        <v>0</v>
      </c>
      <c r="AW253" s="649">
        <f t="shared" si="879"/>
        <v>-0.17391304347826086</v>
      </c>
      <c r="AX253" s="649">
        <f t="shared" si="879"/>
        <v>-0.15217391304347827</v>
      </c>
      <c r="AY253" s="649">
        <f t="shared" si="880"/>
        <v>-0.26190476190476186</v>
      </c>
      <c r="AZ253" s="1033">
        <f t="shared" si="880"/>
        <v>-0.14857142857142858</v>
      </c>
      <c r="BA253" s="649">
        <f t="shared" si="880"/>
        <v>-0.19512195121951215</v>
      </c>
      <c r="BB253" s="649">
        <f t="shared" si="881"/>
        <v>-0.078947368421052655</v>
      </c>
      <c r="BC253" s="649">
        <f t="shared" si="881"/>
        <v>-0.12820512820512819</v>
      </c>
      <c r="BD253" s="649">
        <f t="shared" si="881"/>
        <v>0.16129032258064524</v>
      </c>
      <c r="BE253" s="1033">
        <f t="shared" si="881"/>
        <v>-0.073825503355704702</v>
      </c>
      <c r="BF253" s="649">
        <f t="shared" si="882"/>
        <v>0.060606060606060552</v>
      </c>
      <c r="BG253" s="649">
        <f t="shared" si="882"/>
        <v>0.11428571428571432</v>
      </c>
      <c r="BH253" s="753">
        <f t="shared" si="882"/>
        <v>0.44117647058823528</v>
      </c>
      <c r="BI253" s="925">
        <v>0.25</v>
      </c>
      <c r="BJ253" s="1025">
        <f>BJ232/BE232-1</f>
        <v>0.21739130434782616</v>
      </c>
      <c r="BK253" s="925">
        <v>0.05</v>
      </c>
      <c r="BL253" s="925">
        <v>0.05</v>
      </c>
      <c r="BM253" s="925">
        <v>0.05</v>
      </c>
      <c r="BN253" s="925">
        <v>0.05</v>
      </c>
      <c r="BO253" s="1025">
        <f>BO232/BJ232-1</f>
        <v>0.050000000000000044</v>
      </c>
      <c r="BP253" s="1034">
        <v>0.05</v>
      </c>
      <c r="BQ253" s="1034">
        <v>0.05</v>
      </c>
      <c r="BR253" s="1034">
        <v>0.05</v>
      </c>
      <c r="BS253" s="649"/>
    </row>
    <row r="254" spans="1:71" s="29" customFormat="1" ht="15">
      <c r="A254" s="224"/>
      <c r="B254" s="232"/>
      <c r="C254" s="1025"/>
      <c r="D254" s="1025"/>
      <c r="E254" s="1025"/>
      <c r="F254" s="1025"/>
      <c r="G254" s="1025"/>
      <c r="H254" s="650"/>
      <c r="I254" s="650"/>
      <c r="J254" s="650"/>
      <c r="K254" s="650"/>
      <c r="L254" s="1025"/>
      <c r="M254" s="650"/>
      <c r="N254" s="650"/>
      <c r="O254" s="650"/>
      <c r="P254" s="650"/>
      <c r="Q254" s="1025"/>
      <c r="R254" s="650"/>
      <c r="S254" s="650"/>
      <c r="T254" s="650"/>
      <c r="U254" s="650"/>
      <c r="V254" s="1025"/>
      <c r="W254" s="650"/>
      <c r="X254" s="650"/>
      <c r="Y254" s="650"/>
      <c r="Z254" s="650"/>
      <c r="AA254" s="1025"/>
      <c r="AB254" s="650"/>
      <c r="AC254" s="650"/>
      <c r="AD254" s="650"/>
      <c r="AE254" s="650"/>
      <c r="AF254" s="1025"/>
      <c r="AG254" s="650"/>
      <c r="AH254" s="650"/>
      <c r="AI254" s="650"/>
      <c r="AJ254" s="650"/>
      <c r="AK254" s="1025"/>
      <c r="AL254" s="650"/>
      <c r="AM254" s="650"/>
      <c r="AN254" s="650"/>
      <c r="AO254" s="650"/>
      <c r="AP254" s="1025"/>
      <c r="AQ254" s="650"/>
      <c r="AR254" s="650"/>
      <c r="AS254" s="650"/>
      <c r="AT254" s="650"/>
      <c r="AU254" s="1025"/>
      <c r="AV254" s="650"/>
      <c r="AW254" s="650"/>
      <c r="AX254" s="650"/>
      <c r="AY254" s="650"/>
      <c r="AZ254" s="1025"/>
      <c r="BA254" s="650"/>
      <c r="BB254" s="650"/>
      <c r="BC254" s="650"/>
      <c r="BD254" s="650"/>
      <c r="BE254" s="1025"/>
      <c r="BF254" s="650"/>
      <c r="BG254" s="650"/>
      <c r="BH254" s="752"/>
      <c r="BI254" s="650"/>
      <c r="BJ254" s="1025"/>
      <c r="BK254" s="650"/>
      <c r="BL254" s="650"/>
      <c r="BM254" s="650"/>
      <c r="BN254" s="650"/>
      <c r="BO254" s="1025"/>
      <c r="BP254" s="1025"/>
      <c r="BQ254" s="1025"/>
      <c r="BR254" s="1025"/>
      <c r="BS254" s="649"/>
    </row>
    <row r="255" spans="1:71" s="24" customFormat="1" ht="15">
      <c r="A255" s="45" t="s">
        <v>700</v>
      </c>
      <c r="B255" s="494"/>
      <c r="C255" s="1011"/>
      <c r="D255" s="1011"/>
      <c r="E255" s="1011"/>
      <c r="F255" s="1011"/>
      <c r="G255" s="1011"/>
      <c r="H255" s="130"/>
      <c r="I255" s="130"/>
      <c r="J255" s="130"/>
      <c r="K255" s="130"/>
      <c r="L255" s="1011"/>
      <c r="M255" s="130"/>
      <c r="N255" s="130"/>
      <c r="O255" s="130"/>
      <c r="P255" s="130"/>
      <c r="Q255" s="1011"/>
      <c r="R255" s="130"/>
      <c r="S255" s="130"/>
      <c r="T255" s="130"/>
      <c r="U255" s="130"/>
      <c r="V255" s="1017">
        <f t="shared" si="883" ref="V255:AL255">-V236/V230</f>
        <v>0.44482758620689655</v>
      </c>
      <c r="W255" s="47">
        <f t="shared" si="883"/>
        <v>0.45</v>
      </c>
      <c r="X255" s="47">
        <f t="shared" si="883"/>
        <v>0.39336492890995262</v>
      </c>
      <c r="Y255" s="47">
        <f t="shared" si="883"/>
        <v>0.47111111111111109</v>
      </c>
      <c r="Z255" s="47">
        <f t="shared" si="883"/>
        <v>0.38961038961038963</v>
      </c>
      <c r="AA255" s="1017">
        <f t="shared" si="883"/>
        <v>0.42560553633217996</v>
      </c>
      <c r="AB255" s="47">
        <f t="shared" si="883"/>
        <v>0.34831460674157305</v>
      </c>
      <c r="AC255" s="47">
        <f t="shared" si="883"/>
        <v>0.32841328413284132</v>
      </c>
      <c r="AD255" s="47">
        <f t="shared" si="883"/>
        <v>0.32727272727272727</v>
      </c>
      <c r="AE255" s="47">
        <f t="shared" si="883"/>
        <v>0.27368421052631581</v>
      </c>
      <c r="AF255" s="1017">
        <f t="shared" si="883"/>
        <v>0.31876138433515483</v>
      </c>
      <c r="AG255" s="47">
        <f t="shared" si="883"/>
        <v>0.31186440677966104</v>
      </c>
      <c r="AH255" s="47">
        <f t="shared" si="883"/>
        <v>0.28196721311475409</v>
      </c>
      <c r="AI255" s="47">
        <f t="shared" si="883"/>
        <v>0.29807692307692307</v>
      </c>
      <c r="AJ255" s="47">
        <f t="shared" si="883"/>
        <v>0.28660436137071649</v>
      </c>
      <c r="AK255" s="1017">
        <f t="shared" si="883"/>
        <v>0.2944038929440389</v>
      </c>
      <c r="AL255" s="47">
        <f t="shared" si="883"/>
        <v>0.25988700564971751</v>
      </c>
      <c r="AM255" s="47">
        <f>-AM236/AM230</f>
        <v>0.2361111111111111</v>
      </c>
      <c r="AN255" s="47">
        <f>-AN236/AN230</f>
        <v>0.27864583333333331</v>
      </c>
      <c r="AO255" s="47">
        <f t="shared" si="884" ref="AO255:AP255">-AO236/AO230</f>
        <v>0.25822784810126581</v>
      </c>
      <c r="AP255" s="1017">
        <f t="shared" si="884"/>
        <v>0.25853985264567986</v>
      </c>
      <c r="AQ255" s="47">
        <f t="shared" si="885" ref="AQ255:AV255">-AQ236/AQ230</f>
        <v>0.25060827250608275</v>
      </c>
      <c r="AR255" s="47">
        <f t="shared" si="885"/>
        <v>0.25057471264367814</v>
      </c>
      <c r="AS255" s="47">
        <f t="shared" si="885"/>
        <v>0.26754385964912281</v>
      </c>
      <c r="AT255" s="47">
        <f t="shared" si="885"/>
        <v>0.26839826839826841</v>
      </c>
      <c r="AU255" s="1017">
        <f t="shared" si="885"/>
        <v>0.25963718820861675</v>
      </c>
      <c r="AV255" s="47">
        <f t="shared" si="885"/>
        <v>0.25465838509316768</v>
      </c>
      <c r="AW255" s="47">
        <f t="shared" si="886" ref="AW255:BB255">-AW236/AW230</f>
        <v>0.26229508196721313</v>
      </c>
      <c r="AX255" s="47">
        <f t="shared" si="886"/>
        <v>0.27976190476190477</v>
      </c>
      <c r="AY255" s="47">
        <f t="shared" si="886"/>
        <v>0.26923076923076922</v>
      </c>
      <c r="AZ255" s="1017">
        <f t="shared" si="886"/>
        <v>0.26666666666666666</v>
      </c>
      <c r="BA255" s="47">
        <f t="shared" si="886"/>
        <v>0.28438661710037177</v>
      </c>
      <c r="BB255" s="47">
        <f t="shared" si="886"/>
        <v>0.27868852459016391</v>
      </c>
      <c r="BC255" s="47">
        <f>-BC236/BC230</f>
        <v>0.29173989455184535</v>
      </c>
      <c r="BD255" s="130">
        <f t="shared" si="887" ref="BD255:BE255">-BD236/BD230</f>
        <v>0.27257240204429301</v>
      </c>
      <c r="BE255" s="1011">
        <f t="shared" si="887"/>
        <v>0.28176549264378065</v>
      </c>
      <c r="BF255" s="47">
        <f>-BF236/BF230</f>
        <v>0.2581699346405229</v>
      </c>
      <c r="BG255" s="47">
        <f>-BG236/BG230</f>
        <v>0.2561174551386623</v>
      </c>
      <c r="BH255" s="755">
        <f>-BH236/BH230</f>
        <v>0.25978090766823159</v>
      </c>
      <c r="BI255" s="905">
        <v>0.26</v>
      </c>
      <c r="BJ255" s="1011">
        <f>-BJ236/BJ230</f>
        <v>0.25852960186142715</v>
      </c>
      <c r="BK255" s="905">
        <v>0.25</v>
      </c>
      <c r="BL255" s="905">
        <v>0.25</v>
      </c>
      <c r="BM255" s="905">
        <v>0.26</v>
      </c>
      <c r="BN255" s="905">
        <v>0.26</v>
      </c>
      <c r="BO255" s="1011">
        <f>-BO236/BO230</f>
        <v>0.2552538792161434</v>
      </c>
      <c r="BP255" s="1012">
        <v>0.26</v>
      </c>
      <c r="BQ255" s="1012">
        <v>0.26</v>
      </c>
      <c r="BR255" s="1012">
        <v>0.26</v>
      </c>
      <c r="BS255" s="47"/>
    </row>
    <row r="256" spans="1:71" s="24" customFormat="1" ht="15">
      <c r="A256" s="45" t="s">
        <v>701</v>
      </c>
      <c r="B256" s="494"/>
      <c r="C256" s="1011"/>
      <c r="D256" s="1011"/>
      <c r="E256" s="1011"/>
      <c r="F256" s="1011"/>
      <c r="G256" s="1011"/>
      <c r="H256" s="130"/>
      <c r="I256" s="130"/>
      <c r="J256" s="130"/>
      <c r="K256" s="130"/>
      <c r="L256" s="1011"/>
      <c r="M256" s="130"/>
      <c r="N256" s="130"/>
      <c r="O256" s="130"/>
      <c r="P256" s="130"/>
      <c r="Q256" s="1011"/>
      <c r="R256" s="130"/>
      <c r="S256" s="130"/>
      <c r="T256" s="130"/>
      <c r="U256" s="130"/>
      <c r="V256" s="1017">
        <f t="shared" si="888" ref="V256:AL256">-V237/V230</f>
        <v>0.36896551724137933</v>
      </c>
      <c r="W256" s="47">
        <f t="shared" si="888"/>
        <v>0.34</v>
      </c>
      <c r="X256" s="47">
        <f t="shared" si="888"/>
        <v>0.33649289099526064</v>
      </c>
      <c r="Y256" s="47">
        <f t="shared" si="888"/>
        <v>0.34666666666666668</v>
      </c>
      <c r="Z256" s="47">
        <f t="shared" si="888"/>
        <v>0.34199134199134201</v>
      </c>
      <c r="AA256" s="1017">
        <f t="shared" si="888"/>
        <v>0.34140715109573239</v>
      </c>
      <c r="AB256" s="47">
        <f t="shared" si="888"/>
        <v>0.41198501872659177</v>
      </c>
      <c r="AC256" s="47">
        <f t="shared" si="888"/>
        <v>0.41697416974169743</v>
      </c>
      <c r="AD256" s="47">
        <f t="shared" si="888"/>
        <v>0.42909090909090908</v>
      </c>
      <c r="AE256" s="47">
        <f t="shared" si="888"/>
        <v>0.42807017543859649</v>
      </c>
      <c r="AF256" s="1017">
        <f t="shared" si="888"/>
        <v>0.42167577413479052</v>
      </c>
      <c r="AG256" s="47">
        <f t="shared" si="888"/>
        <v>0.43050847457627117</v>
      </c>
      <c r="AH256" s="47">
        <f t="shared" si="888"/>
        <v>0.43934426229508194</v>
      </c>
      <c r="AI256" s="47">
        <f t="shared" si="888"/>
        <v>0.44551282051282054</v>
      </c>
      <c r="AJ256" s="47">
        <f t="shared" si="888"/>
        <v>0.4454828660436137</v>
      </c>
      <c r="AK256" s="1017">
        <f t="shared" si="888"/>
        <v>0.44038929440389296</v>
      </c>
      <c r="AL256" s="47">
        <f t="shared" si="888"/>
        <v>0.43220338983050849</v>
      </c>
      <c r="AM256" s="47">
        <f>-AM237/AM230</f>
        <v>0.44444444444444442</v>
      </c>
      <c r="AN256" s="47">
        <f>-AN237/AN230</f>
        <v>0.44010416666666669</v>
      </c>
      <c r="AO256" s="47">
        <f t="shared" si="889" ref="AO256:AP256">-AO237/AO230</f>
        <v>0.44556962025316454</v>
      </c>
      <c r="AP256" s="1017">
        <f t="shared" si="889"/>
        <v>0.44072337575351639</v>
      </c>
      <c r="AQ256" s="47">
        <f t="shared" si="890" ref="AQ256:AV256">-AQ237/AQ230</f>
        <v>0.44038929440389296</v>
      </c>
      <c r="AR256" s="47">
        <f t="shared" si="890"/>
        <v>0.4459770114942529</v>
      </c>
      <c r="AS256" s="47">
        <f t="shared" si="890"/>
        <v>0.4517543859649123</v>
      </c>
      <c r="AT256" s="47">
        <f t="shared" si="890"/>
        <v>0.46320346320346323</v>
      </c>
      <c r="AU256" s="1017">
        <f t="shared" si="890"/>
        <v>0.45068027210884354</v>
      </c>
      <c r="AV256" s="47">
        <f t="shared" si="890"/>
        <v>0.45755693581780538</v>
      </c>
      <c r="AW256" s="47">
        <f t="shared" si="891" ref="AW256:BB256">-AW237/AW230</f>
        <v>0.46721311475409838</v>
      </c>
      <c r="AX256" s="47">
        <f t="shared" si="891"/>
        <v>0.46825396825396826</v>
      </c>
      <c r="AY256" s="47">
        <f t="shared" si="891"/>
        <v>0.46730769230769231</v>
      </c>
      <c r="AZ256" s="1017">
        <f t="shared" si="891"/>
        <v>0.46516290726817044</v>
      </c>
      <c r="BA256" s="47">
        <f t="shared" si="891"/>
        <v>0.46654275092936803</v>
      </c>
      <c r="BB256" s="47">
        <f t="shared" si="891"/>
        <v>0.47176684881602915</v>
      </c>
      <c r="BC256" s="47">
        <f>-BC237/BC230</f>
        <v>0.47275922671353249</v>
      </c>
      <c r="BD256" s="130">
        <f t="shared" si="892" ref="BD256:BE256">-BD237/BD230</f>
        <v>0.47529812606473593</v>
      </c>
      <c r="BE256" s="1011">
        <f t="shared" si="892"/>
        <v>0.47168970129291127</v>
      </c>
      <c r="BF256" s="47">
        <f>-BF237/BF230</f>
        <v>0.47222222222222221</v>
      </c>
      <c r="BG256" s="47">
        <f>-BG237/BG230</f>
        <v>0.4828711256117455</v>
      </c>
      <c r="BH256" s="755">
        <f>-BH237/BH230</f>
        <v>0.47574334898278559</v>
      </c>
      <c r="BI256" s="905">
        <v>0.441</v>
      </c>
      <c r="BJ256" s="1011">
        <f>-BJ237/BJ230</f>
        <v>0.46805532574974146</v>
      </c>
      <c r="BK256" s="905">
        <v>0.40</v>
      </c>
      <c r="BL256" s="905">
        <v>0.40</v>
      </c>
      <c r="BM256" s="905">
        <v>0.40</v>
      </c>
      <c r="BN256" s="905">
        <v>0.40</v>
      </c>
      <c r="BO256" s="1011">
        <f>-BO237/BO230</f>
        <v>0.40</v>
      </c>
      <c r="BP256" s="1012">
        <v>0.44100000000000006</v>
      </c>
      <c r="BQ256" s="1012">
        <v>0.44100000000000006</v>
      </c>
      <c r="BR256" s="1012">
        <v>0.44100000000000006</v>
      </c>
      <c r="BS256" s="47"/>
    </row>
    <row r="257" spans="1:71" s="24" customFormat="1" ht="15">
      <c r="A257" s="63" t="s">
        <v>702</v>
      </c>
      <c r="B257" s="495"/>
      <c r="C257" s="1029"/>
      <c r="D257" s="1029"/>
      <c r="E257" s="1029"/>
      <c r="F257" s="1029"/>
      <c r="G257" s="1029"/>
      <c r="H257" s="343"/>
      <c r="I257" s="343"/>
      <c r="J257" s="343"/>
      <c r="K257" s="343"/>
      <c r="L257" s="1029"/>
      <c r="M257" s="343"/>
      <c r="N257" s="343"/>
      <c r="O257" s="343"/>
      <c r="P257" s="343"/>
      <c r="Q257" s="1029"/>
      <c r="R257" s="343"/>
      <c r="S257" s="343"/>
      <c r="T257" s="343"/>
      <c r="U257" s="343"/>
      <c r="V257" s="1038">
        <f t="shared" si="893" ref="V257:AL257">(-V238-V231)/V230</f>
        <v>0.38448275862068965</v>
      </c>
      <c r="W257" s="345">
        <f t="shared" si="893"/>
        <v>0.44</v>
      </c>
      <c r="X257" s="345">
        <f t="shared" si="893"/>
        <v>0.46919431279620855</v>
      </c>
      <c r="Y257" s="345">
        <f t="shared" si="893"/>
        <v>0.43555555555555553</v>
      </c>
      <c r="Z257" s="345">
        <f t="shared" si="893"/>
        <v>0.50216450216450215</v>
      </c>
      <c r="AA257" s="1038">
        <f t="shared" si="893"/>
        <v>0.46251441753171857</v>
      </c>
      <c r="AB257" s="345">
        <f t="shared" si="893"/>
        <v>0.37827715355805241</v>
      </c>
      <c r="AC257" s="345">
        <f t="shared" si="893"/>
        <v>0.36900369003690037</v>
      </c>
      <c r="AD257" s="345">
        <f t="shared" si="893"/>
        <v>0.3927272727272727</v>
      </c>
      <c r="AE257" s="345">
        <f t="shared" si="893"/>
        <v>0.40</v>
      </c>
      <c r="AF257" s="1038">
        <f t="shared" si="893"/>
        <v>0.38524590163934425</v>
      </c>
      <c r="AG257" s="345">
        <f t="shared" si="893"/>
        <v>0.35254237288135593</v>
      </c>
      <c r="AH257" s="345">
        <f t="shared" si="893"/>
        <v>0.36065573770491804</v>
      </c>
      <c r="AI257" s="345">
        <f t="shared" si="893"/>
        <v>0.39743589743589741</v>
      </c>
      <c r="AJ257" s="345">
        <f t="shared" si="893"/>
        <v>0.42056074766355139</v>
      </c>
      <c r="AK257" s="1038">
        <f t="shared" si="893"/>
        <v>0.38361719383617193</v>
      </c>
      <c r="AL257" s="345">
        <f t="shared" si="893"/>
        <v>0.30790960451977401</v>
      </c>
      <c r="AM257" s="345">
        <f>(-AM238-AM231)/AM230</f>
        <v>0.31111111111111112</v>
      </c>
      <c r="AN257" s="345">
        <f>(-AN238-AN231)/AN230</f>
        <v>0.28125</v>
      </c>
      <c r="AO257" s="345">
        <f t="shared" si="894" ref="AO257:AP257">(-AO238-AO231)/AO230</f>
        <v>0.28860759493670884</v>
      </c>
      <c r="AP257" s="1038">
        <f t="shared" si="894"/>
        <v>0.29671801741460146</v>
      </c>
      <c r="AQ257" s="345">
        <f t="shared" si="895" ref="AQ257:AV257">(-AQ238-AQ231)/AQ230</f>
        <v>0.26277372262773724</v>
      </c>
      <c r="AR257" s="345">
        <f t="shared" si="895"/>
        <v>0.26436781609195403</v>
      </c>
      <c r="AS257" s="345">
        <f t="shared" si="895"/>
        <v>0.27192982456140352</v>
      </c>
      <c r="AT257" s="345">
        <f t="shared" si="895"/>
        <v>0.2943722943722944</v>
      </c>
      <c r="AU257" s="1038">
        <f t="shared" si="895"/>
        <v>0.27380952380952384</v>
      </c>
      <c r="AV257" s="345">
        <f t="shared" si="895"/>
        <v>0.25672877846790892</v>
      </c>
      <c r="AW257" s="345">
        <f t="shared" si="896" ref="AW257:BB257">(-AW238-AW231)/AW230</f>
        <v>0.25</v>
      </c>
      <c r="AX257" s="345">
        <f t="shared" si="896"/>
        <v>0.25793650793650796</v>
      </c>
      <c r="AY257" s="345">
        <f t="shared" si="896"/>
        <v>0.29038461538461541</v>
      </c>
      <c r="AZ257" s="1038">
        <f t="shared" si="896"/>
        <v>0.26416040100250626</v>
      </c>
      <c r="BA257" s="345">
        <f t="shared" si="896"/>
        <v>0.25464684014869887</v>
      </c>
      <c r="BB257" s="345">
        <f t="shared" si="896"/>
        <v>0.24408014571948999</v>
      </c>
      <c r="BC257" s="345">
        <f>(-BC238-BC231)/BC230</f>
        <v>0.26362038664323373</v>
      </c>
      <c r="BD257" s="343">
        <f t="shared" si="897" ref="BD257:BE257">(-BD238-BD231)/BD230</f>
        <v>0.25383304940374785</v>
      </c>
      <c r="BE257" s="1029">
        <f t="shared" si="897"/>
        <v>0.25412394115024523</v>
      </c>
      <c r="BF257" s="345">
        <f>(-BF238-BF231)/BF230</f>
        <v>0.24346405228758169</v>
      </c>
      <c r="BG257" s="345">
        <f>(-BG238-BG231)/BG230</f>
        <v>0.24143556280587275</v>
      </c>
      <c r="BH257" s="756">
        <f>(-BH238-BH231)/BH230</f>
        <v>0.26604068857589985</v>
      </c>
      <c r="BI257" s="911">
        <v>0.30</v>
      </c>
      <c r="BJ257" s="1029">
        <f>(-BJ238-BJ231)/BJ230</f>
        <v>0.23795243019648399</v>
      </c>
      <c r="BK257" s="911">
        <v>0.25</v>
      </c>
      <c r="BL257" s="911">
        <v>0.25</v>
      </c>
      <c r="BM257" s="911">
        <v>0.25</v>
      </c>
      <c r="BN257" s="911">
        <v>0.25</v>
      </c>
      <c r="BO257" s="1029">
        <f>(-BO238-BO231)/BO230</f>
        <v>0.14464194652873902</v>
      </c>
      <c r="BP257" s="1028">
        <v>0.25965608465608464</v>
      </c>
      <c r="BQ257" s="1028">
        <v>0.25965608465608464</v>
      </c>
      <c r="BR257" s="1028">
        <v>0.25965608465608464</v>
      </c>
      <c r="BS257" s="47"/>
    </row>
    <row r="258" spans="1:71" s="25" customFormat="1" ht="15">
      <c r="A258" s="43" t="s">
        <v>703</v>
      </c>
      <c r="B258" s="496"/>
      <c r="C258" s="1016"/>
      <c r="D258" s="1016"/>
      <c r="E258" s="1016"/>
      <c r="F258" s="1016"/>
      <c r="G258" s="1016"/>
      <c r="H258" s="393"/>
      <c r="I258" s="393"/>
      <c r="J258" s="393"/>
      <c r="K258" s="393"/>
      <c r="L258" s="1016"/>
      <c r="M258" s="393"/>
      <c r="N258" s="393"/>
      <c r="O258" s="393"/>
      <c r="P258" s="393"/>
      <c r="Q258" s="1016"/>
      <c r="R258" s="393"/>
      <c r="S258" s="393"/>
      <c r="T258" s="393"/>
      <c r="U258" s="393"/>
      <c r="V258" s="1015">
        <f t="shared" si="898" ref="V258:AK258">SUM(V255:V257)</f>
        <v>1.1982758620689655</v>
      </c>
      <c r="W258" s="158">
        <f t="shared" si="898"/>
        <v>1.23</v>
      </c>
      <c r="X258" s="158">
        <f t="shared" si="898"/>
        <v>1.1990521327014219</v>
      </c>
      <c r="Y258" s="158">
        <f t="shared" si="898"/>
        <v>1.2533333333333332</v>
      </c>
      <c r="Z258" s="158">
        <f t="shared" si="898"/>
        <v>1.2337662337662336</v>
      </c>
      <c r="AA258" s="1015">
        <f t="shared" si="898"/>
        <v>1.229527104959631</v>
      </c>
      <c r="AB258" s="158">
        <f t="shared" si="898"/>
        <v>1.1385767790262173</v>
      </c>
      <c r="AC258" s="158">
        <f t="shared" si="898"/>
        <v>1.1143911439114391</v>
      </c>
      <c r="AD258" s="158">
        <f t="shared" si="898"/>
        <v>1.1490909090909089</v>
      </c>
      <c r="AE258" s="158">
        <f t="shared" si="898"/>
        <v>1.1017543859649122</v>
      </c>
      <c r="AF258" s="1015">
        <f t="shared" si="898"/>
        <v>1.1256830601092895</v>
      </c>
      <c r="AG258" s="158">
        <f t="shared" si="898"/>
        <v>1.0949152542372882</v>
      </c>
      <c r="AH258" s="158">
        <f t="shared" si="898"/>
        <v>1.081967213114754</v>
      </c>
      <c r="AI258" s="158">
        <f t="shared" si="898"/>
        <v>1.141025641025641</v>
      </c>
      <c r="AJ258" s="158">
        <f t="shared" si="898"/>
        <v>1.1526479750778815</v>
      </c>
      <c r="AK258" s="1015">
        <f t="shared" si="898"/>
        <v>1.1184103811841037</v>
      </c>
      <c r="AL258" s="158">
        <f>SUM(AL255:AL257)</f>
        <v>1</v>
      </c>
      <c r="AM258" s="158">
        <f>SUM(AM255:AM257)</f>
        <v>0.9916666666666667</v>
      </c>
      <c r="AN258" s="158">
        <f>SUM(AN255:AN257)</f>
        <v>1</v>
      </c>
      <c r="AO258" s="158">
        <f t="shared" si="899" ref="AO258:AP258">SUM(AO255:AO257)</f>
        <v>0.9924050632911392</v>
      </c>
      <c r="AP258" s="1015">
        <f t="shared" si="899"/>
        <v>0.99598124581379766</v>
      </c>
      <c r="AQ258" s="158">
        <f t="shared" si="900" ref="AQ258:AV258">SUM(AQ255:AQ257)</f>
        <v>0.95377128953771295</v>
      </c>
      <c r="AR258" s="158">
        <f t="shared" si="900"/>
        <v>0.96091954022988513</v>
      </c>
      <c r="AS258" s="158">
        <f t="shared" si="900"/>
        <v>0.99122807017543857</v>
      </c>
      <c r="AT258" s="158">
        <f t="shared" si="900"/>
        <v>1.025974025974026</v>
      </c>
      <c r="AU258" s="1015">
        <f t="shared" si="900"/>
        <v>0.98412698412698407</v>
      </c>
      <c r="AV258" s="158">
        <f t="shared" si="900"/>
        <v>0.96894409937888204</v>
      </c>
      <c r="AW258" s="158">
        <f t="shared" si="901" ref="AW258:BJ258">SUM(AW255:AW257)</f>
        <v>0.97950819672131151</v>
      </c>
      <c r="AX258" s="158">
        <f t="shared" si="901"/>
        <v>1.0059523809523809</v>
      </c>
      <c r="AY258" s="158">
        <f t="shared" si="901"/>
        <v>1.026923076923077</v>
      </c>
      <c r="AZ258" s="1015">
        <f t="shared" si="901"/>
        <v>0.99598997493734331</v>
      </c>
      <c r="BA258" s="158">
        <f t="shared" si="902" ref="BA258:BI258">SUM(BA255:BA257)</f>
        <v>1.0055762081784385</v>
      </c>
      <c r="BB258" s="158">
        <f t="shared" si="902"/>
        <v>0.99453551912568305</v>
      </c>
      <c r="BC258" s="158">
        <f t="shared" si="902"/>
        <v>1.0281195079086114</v>
      </c>
      <c r="BD258" s="393">
        <f t="shared" si="903" ref="BD258:BE258">SUM(BD255:BD257)</f>
        <v>1.0017035775127767</v>
      </c>
      <c r="BE258" s="1016">
        <f t="shared" si="903"/>
        <v>1.0075791350869372</v>
      </c>
      <c r="BF258" s="158">
        <f>SUM(BF255:BF257)</f>
        <v>0.97385620915032689</v>
      </c>
      <c r="BG258" s="158">
        <f>SUM(BG255:BG257)</f>
        <v>0.98042414355628049</v>
      </c>
      <c r="BH258" s="750">
        <f>SUM(BH255:BH257)</f>
        <v>1.0015649452269171</v>
      </c>
      <c r="BI258" s="393">
        <f t="shared" si="902"/>
        <v>1.0010000000000001</v>
      </c>
      <c r="BJ258" s="1016">
        <f t="shared" si="901"/>
        <v>0.9645373578076526</v>
      </c>
      <c r="BK258" s="393">
        <f t="shared" si="904" ref="BK258:BR258">SUM(BK255:BK257)</f>
        <v>0.90</v>
      </c>
      <c r="BL258" s="393">
        <f t="shared" si="904"/>
        <v>0.90</v>
      </c>
      <c r="BM258" s="393">
        <f t="shared" si="904"/>
        <v>0.91</v>
      </c>
      <c r="BN258" s="393">
        <f t="shared" si="904"/>
        <v>0.91</v>
      </c>
      <c r="BO258" s="1016">
        <f t="shared" si="904"/>
        <v>0.79989582574488249</v>
      </c>
      <c r="BP258" s="1016">
        <f t="shared" si="904"/>
        <v>0.96065608465608476</v>
      </c>
      <c r="BQ258" s="1016">
        <f t="shared" si="904"/>
        <v>0.96065608465608476</v>
      </c>
      <c r="BR258" s="1016">
        <f t="shared" si="904"/>
        <v>0.96065608465608476</v>
      </c>
      <c r="BS258" s="158"/>
    </row>
    <row r="259" spans="1:71" s="51" customFormat="1" ht="15">
      <c r="A259" s="480"/>
      <c r="B259" s="391"/>
      <c r="C259" s="1000"/>
      <c r="D259" s="1000"/>
      <c r="E259" s="1000"/>
      <c r="F259" s="1000"/>
      <c r="G259" s="1000"/>
      <c r="H259" s="128"/>
      <c r="I259" s="128"/>
      <c r="J259" s="128"/>
      <c r="K259" s="128"/>
      <c r="L259" s="1000"/>
      <c r="M259" s="128"/>
      <c r="N259" s="128"/>
      <c r="O259" s="128"/>
      <c r="P259" s="128"/>
      <c r="Q259" s="1000"/>
      <c r="R259" s="128"/>
      <c r="S259" s="128"/>
      <c r="T259" s="128"/>
      <c r="U259" s="128"/>
      <c r="V259" s="1000"/>
      <c r="W259" s="128"/>
      <c r="X259" s="128"/>
      <c r="Y259" s="128"/>
      <c r="Z259" s="128"/>
      <c r="AA259" s="1000"/>
      <c r="AB259" s="128"/>
      <c r="AC259" s="128"/>
      <c r="AD259" s="128"/>
      <c r="AE259" s="128"/>
      <c r="AF259" s="1000"/>
      <c r="AG259" s="128"/>
      <c r="AH259" s="128"/>
      <c r="AI259" s="128"/>
      <c r="AJ259" s="128"/>
      <c r="AK259" s="1000"/>
      <c r="AL259" s="128"/>
      <c r="AM259" s="128"/>
      <c r="AN259" s="128"/>
      <c r="AO259" s="128"/>
      <c r="AP259" s="1000"/>
      <c r="AQ259" s="128"/>
      <c r="AR259" s="128"/>
      <c r="AS259" s="128"/>
      <c r="AT259" s="128"/>
      <c r="AU259" s="1000"/>
      <c r="AV259" s="128"/>
      <c r="AW259" s="128"/>
      <c r="AX259" s="128"/>
      <c r="AY259" s="128"/>
      <c r="AZ259" s="1000"/>
      <c r="BA259" s="128"/>
      <c r="BB259" s="128"/>
      <c r="BC259" s="128"/>
      <c r="BD259" s="128"/>
      <c r="BE259" s="1000"/>
      <c r="BF259" s="128"/>
      <c r="BG259" s="128"/>
      <c r="BH259" s="465"/>
      <c r="BI259" s="128"/>
      <c r="BJ259" s="1000"/>
      <c r="BK259" s="128"/>
      <c r="BL259" s="128"/>
      <c r="BM259" s="128"/>
      <c r="BN259" s="128"/>
      <c r="BO259" s="1000"/>
      <c r="BP259" s="1000"/>
      <c r="BQ259" s="1000"/>
      <c r="BR259" s="1000"/>
      <c r="BS259" s="57"/>
    </row>
    <row r="260" spans="1:71" s="17" customFormat="1" ht="15">
      <c r="A260" s="818" t="s">
        <v>824</v>
      </c>
      <c r="B260" s="818"/>
      <c r="C260" s="837"/>
      <c r="D260" s="837"/>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7"/>
      <c r="AD260" s="837"/>
      <c r="AE260" s="837"/>
      <c r="AF260" s="837"/>
      <c r="AG260" s="837"/>
      <c r="AH260" s="837"/>
      <c r="AI260" s="837"/>
      <c r="AJ260" s="837"/>
      <c r="AK260" s="837"/>
      <c r="AL260" s="837"/>
      <c r="AM260" s="837"/>
      <c r="AN260" s="837"/>
      <c r="AO260" s="837"/>
      <c r="AP260" s="837"/>
      <c r="AQ260" s="837"/>
      <c r="AR260" s="837"/>
      <c r="AS260" s="837"/>
      <c r="AT260" s="837"/>
      <c r="AU260" s="837"/>
      <c r="AV260" s="837"/>
      <c r="AW260" s="837"/>
      <c r="AX260" s="837"/>
      <c r="AY260" s="837"/>
      <c r="AZ260" s="837"/>
      <c r="BA260" s="837"/>
      <c r="BB260" s="837"/>
      <c r="BC260" s="837"/>
      <c r="BD260" s="837"/>
      <c r="BE260" s="837"/>
      <c r="BF260" s="837"/>
      <c r="BG260" s="837"/>
      <c r="BH260" s="838"/>
      <c r="BI260" s="837"/>
      <c r="BJ260" s="837"/>
      <c r="BK260" s="837"/>
      <c r="BL260" s="837"/>
      <c r="BM260" s="837"/>
      <c r="BN260" s="837"/>
      <c r="BO260" s="837"/>
      <c r="BP260" s="837"/>
      <c r="BQ260" s="837"/>
      <c r="BR260" s="837"/>
      <c r="BS260" s="457"/>
    </row>
    <row r="261" spans="1:71" s="51" customFormat="1" ht="15">
      <c r="A261" s="109" t="s">
        <v>704</v>
      </c>
      <c r="B261" s="391"/>
      <c r="C261" s="1000"/>
      <c r="D261" s="1000"/>
      <c r="E261" s="1000"/>
      <c r="F261" s="1000"/>
      <c r="G261" s="1000"/>
      <c r="H261" s="128"/>
      <c r="I261" s="128"/>
      <c r="J261" s="128"/>
      <c r="K261" s="128"/>
      <c r="L261" s="1000"/>
      <c r="M261" s="128"/>
      <c r="N261" s="128"/>
      <c r="O261" s="128"/>
      <c r="P261" s="128"/>
      <c r="Q261" s="1000"/>
      <c r="R261" s="128"/>
      <c r="S261" s="128"/>
      <c r="T261" s="128"/>
      <c r="U261" s="128"/>
      <c r="V261" s="1000"/>
      <c r="W261" s="128"/>
      <c r="X261" s="128"/>
      <c r="Y261" s="128"/>
      <c r="Z261" s="128"/>
      <c r="AA261" s="1000"/>
      <c r="AB261" s="57">
        <f t="shared" si="905" ref="AB261">AA263</f>
        <v>954</v>
      </c>
      <c r="AC261" s="57">
        <f t="shared" si="906" ref="AC261">AB263</f>
        <v>966</v>
      </c>
      <c r="AD261" s="57">
        <f t="shared" si="907" ref="AD261">AC263</f>
        <v>971</v>
      </c>
      <c r="AE261" s="57">
        <f>AD263</f>
        <v>1126</v>
      </c>
      <c r="AF261" s="999">
        <f>AA263</f>
        <v>954</v>
      </c>
      <c r="AG261" s="57">
        <f t="shared" si="908" ref="AG261">AF263</f>
        <v>1203</v>
      </c>
      <c r="AH261" s="57">
        <f t="shared" si="909" ref="AH261">AG263</f>
        <v>1318</v>
      </c>
      <c r="AI261" s="57">
        <f t="shared" si="910" ref="AI261">AH263</f>
        <v>1408</v>
      </c>
      <c r="AJ261" s="57">
        <f>AI263</f>
        <v>1549</v>
      </c>
      <c r="AK261" s="999">
        <f>AF263</f>
        <v>1203</v>
      </c>
      <c r="AL261" s="57">
        <f t="shared" si="911" ref="AL261">AK263</f>
        <v>1544</v>
      </c>
      <c r="AM261" s="57">
        <f>AL263</f>
        <v>1604</v>
      </c>
      <c r="AN261" s="57">
        <f>AM263</f>
        <v>1770</v>
      </c>
      <c r="AO261" s="57">
        <f>AN263</f>
        <v>1950</v>
      </c>
      <c r="AP261" s="999">
        <f>AK263</f>
        <v>1544</v>
      </c>
      <c r="AQ261" s="57">
        <f>AP263</f>
        <v>1822</v>
      </c>
      <c r="AR261" s="57">
        <f>AQ263</f>
        <v>1858</v>
      </c>
      <c r="AS261" s="57">
        <f>AR263</f>
        <v>2058</v>
      </c>
      <c r="AT261" s="57">
        <f>AS263</f>
        <v>1927</v>
      </c>
      <c r="AU261" s="999">
        <f>AP263</f>
        <v>1822</v>
      </c>
      <c r="AV261" s="57">
        <f>AU263</f>
        <v>1890</v>
      </c>
      <c r="AW261" s="57">
        <f>AV263</f>
        <v>1879</v>
      </c>
      <c r="AX261" s="57">
        <f>AW263</f>
        <v>1865</v>
      </c>
      <c r="AY261" s="57">
        <f>AX263</f>
        <v>1963</v>
      </c>
      <c r="AZ261" s="999">
        <f>AU263</f>
        <v>1890</v>
      </c>
      <c r="BA261" s="57">
        <f>AZ263</f>
        <v>1917</v>
      </c>
      <c r="BB261" s="57">
        <f>BA263</f>
        <v>2085</v>
      </c>
      <c r="BC261" s="57">
        <f>BB263</f>
        <v>2128</v>
      </c>
      <c r="BD261" s="57">
        <f>BC263</f>
        <v>2109</v>
      </c>
      <c r="BE261" s="999">
        <f>AZ263</f>
        <v>1917</v>
      </c>
      <c r="BF261" s="57">
        <f>BE263</f>
        <v>2180</v>
      </c>
      <c r="BG261" s="57">
        <f>BF263</f>
        <v>2226</v>
      </c>
      <c r="BH261" s="745">
        <f>BG263</f>
        <v>2305</v>
      </c>
      <c r="BI261" s="128">
        <f>BH263</f>
        <v>2467</v>
      </c>
      <c r="BJ261" s="1000">
        <f>BE263</f>
        <v>2180</v>
      </c>
      <c r="BK261" s="128">
        <f>BJ263</f>
        <v>2572.40</v>
      </c>
      <c r="BL261" s="128">
        <f>BK263</f>
        <v>2626.68</v>
      </c>
      <c r="BM261" s="128">
        <f>BL263</f>
        <v>2719.8999999999996</v>
      </c>
      <c r="BN261" s="128">
        <f>BM263</f>
        <v>2911.06</v>
      </c>
      <c r="BO261" s="1000">
        <f>BJ263</f>
        <v>2572.40</v>
      </c>
      <c r="BP261" s="1000">
        <f>BO263</f>
        <v>3035.4319999999998</v>
      </c>
      <c r="BQ261" s="1000">
        <f>BP263</f>
        <v>3399.6838400000001</v>
      </c>
      <c r="BR261" s="1000">
        <f>BQ263</f>
        <v>3807.6459008000006</v>
      </c>
      <c r="BS261" s="57"/>
    </row>
    <row r="262" spans="1:71" s="300" customFormat="1" ht="15">
      <c r="A262" s="110" t="s">
        <v>705</v>
      </c>
      <c r="B262" s="113"/>
      <c r="C262" s="995"/>
      <c r="D262" s="995"/>
      <c r="E262" s="995"/>
      <c r="F262" s="995"/>
      <c r="G262" s="995"/>
      <c r="H262" s="115"/>
      <c r="I262" s="115"/>
      <c r="J262" s="115"/>
      <c r="K262" s="115"/>
      <c r="L262" s="995"/>
      <c r="M262" s="115"/>
      <c r="N262" s="115"/>
      <c r="O262" s="115"/>
      <c r="P262" s="115"/>
      <c r="Q262" s="995"/>
      <c r="R262" s="115"/>
      <c r="S262" s="115"/>
      <c r="T262" s="115"/>
      <c r="U262" s="115"/>
      <c r="V262" s="995"/>
      <c r="W262" s="115"/>
      <c r="X262" s="115"/>
      <c r="Y262" s="115"/>
      <c r="Z262" s="115"/>
      <c r="AA262" s="995"/>
      <c r="AB262" s="58">
        <f t="shared" si="912" ref="AB262:AK262">AB263-AB261</f>
        <v>12</v>
      </c>
      <c r="AC262" s="58">
        <f t="shared" si="912"/>
        <v>5</v>
      </c>
      <c r="AD262" s="58">
        <f t="shared" si="912"/>
        <v>155</v>
      </c>
      <c r="AE262" s="58">
        <f t="shared" si="912"/>
        <v>77</v>
      </c>
      <c r="AF262" s="998">
        <f t="shared" si="912"/>
        <v>249</v>
      </c>
      <c r="AG262" s="58">
        <f t="shared" si="912"/>
        <v>115</v>
      </c>
      <c r="AH262" s="58">
        <f t="shared" si="912"/>
        <v>90</v>
      </c>
      <c r="AI262" s="58">
        <f t="shared" si="912"/>
        <v>141</v>
      </c>
      <c r="AJ262" s="58">
        <f t="shared" si="912"/>
        <v>-5</v>
      </c>
      <c r="AK262" s="998">
        <f t="shared" si="912"/>
        <v>341</v>
      </c>
      <c r="AL262" s="58">
        <f t="shared" si="913" ref="AL262">AL263-AL261</f>
        <v>60</v>
      </c>
      <c r="AM262" s="58">
        <f>AM263-AM261</f>
        <v>166</v>
      </c>
      <c r="AN262" s="58">
        <f>AN263-AN261</f>
        <v>180</v>
      </c>
      <c r="AO262" s="58">
        <f t="shared" si="914" ref="AO262:AP262">AO263-AO261</f>
        <v>-128</v>
      </c>
      <c r="AP262" s="998">
        <f t="shared" si="914"/>
        <v>278</v>
      </c>
      <c r="AQ262" s="58">
        <f t="shared" si="915" ref="AQ262:AV262">AQ263-AQ261</f>
        <v>36</v>
      </c>
      <c r="AR262" s="58">
        <f t="shared" si="915"/>
        <v>200</v>
      </c>
      <c r="AS262" s="58">
        <f t="shared" si="915"/>
        <v>-131</v>
      </c>
      <c r="AT262" s="58">
        <f t="shared" si="915"/>
        <v>-37</v>
      </c>
      <c r="AU262" s="998">
        <f t="shared" si="915"/>
        <v>68</v>
      </c>
      <c r="AV262" s="58">
        <f t="shared" si="915"/>
        <v>-11</v>
      </c>
      <c r="AW262" s="58">
        <f t="shared" si="916" ref="AW262:BJ262">AW263-AW261</f>
        <v>-14</v>
      </c>
      <c r="AX262" s="58">
        <f t="shared" si="916"/>
        <v>98</v>
      </c>
      <c r="AY262" s="58">
        <f t="shared" si="916"/>
        <v>-46</v>
      </c>
      <c r="AZ262" s="998">
        <f t="shared" si="916"/>
        <v>27</v>
      </c>
      <c r="BA262" s="58">
        <f t="shared" si="917" ref="BA262:BI262">BA263-BA261</f>
        <v>168</v>
      </c>
      <c r="BB262" s="58">
        <f t="shared" si="917"/>
        <v>43</v>
      </c>
      <c r="BC262" s="58">
        <f t="shared" si="917"/>
        <v>-19</v>
      </c>
      <c r="BD262" s="58">
        <f t="shared" si="917"/>
        <v>71</v>
      </c>
      <c r="BE262" s="993">
        <f t="shared" si="917"/>
        <v>263</v>
      </c>
      <c r="BF262" s="58">
        <f t="shared" si="918" ref="BF262">BF263-BF261</f>
        <v>46</v>
      </c>
      <c r="BG262" s="58">
        <f>BG263-BG261</f>
        <v>79</v>
      </c>
      <c r="BH262" s="744">
        <f>BH263-BH261</f>
        <v>162</v>
      </c>
      <c r="BI262" s="115">
        <f t="shared" si="917"/>
        <v>105.40000000000009</v>
      </c>
      <c r="BJ262" s="995">
        <f t="shared" si="916"/>
        <v>392.40000000000009</v>
      </c>
      <c r="BK262" s="115">
        <f t="shared" si="919" ref="BK262:BR262">BK263-BK261</f>
        <v>54.279999999999745</v>
      </c>
      <c r="BL262" s="115">
        <f t="shared" si="919"/>
        <v>93.2199999999998</v>
      </c>
      <c r="BM262" s="115">
        <f t="shared" si="919"/>
        <v>191.16000000000031</v>
      </c>
      <c r="BN262" s="115">
        <f t="shared" si="919"/>
        <v>124.37199999999984</v>
      </c>
      <c r="BO262" s="995">
        <f t="shared" si="919"/>
        <v>463.0319999999997</v>
      </c>
      <c r="BP262" s="995">
        <f t="shared" si="919"/>
        <v>364.25184000000036</v>
      </c>
      <c r="BQ262" s="995">
        <f t="shared" si="919"/>
        <v>407.96206080000047</v>
      </c>
      <c r="BR262" s="995">
        <f t="shared" si="919"/>
        <v>456.9175080960008</v>
      </c>
      <c r="BS262" s="305"/>
    </row>
    <row r="263" spans="1:71" s="51" customFormat="1" ht="15">
      <c r="A263" s="480" t="s">
        <v>706</v>
      </c>
      <c r="B263" s="391"/>
      <c r="C263" s="1000"/>
      <c r="D263" s="1000"/>
      <c r="E263" s="1000"/>
      <c r="F263" s="1000"/>
      <c r="G263" s="1000"/>
      <c r="H263" s="128"/>
      <c r="I263" s="128"/>
      <c r="J263" s="128"/>
      <c r="K263" s="128"/>
      <c r="L263" s="1000"/>
      <c r="M263" s="128"/>
      <c r="N263" s="128"/>
      <c r="O263" s="128"/>
      <c r="P263" s="128"/>
      <c r="Q263" s="1000"/>
      <c r="R263" s="128"/>
      <c r="S263" s="128"/>
      <c r="T263" s="128"/>
      <c r="U263" s="128"/>
      <c r="V263" s="1000"/>
      <c r="W263" s="128"/>
      <c r="X263" s="128"/>
      <c r="Y263" s="128"/>
      <c r="Z263" s="128"/>
      <c r="AA263" s="1031">
        <v>954</v>
      </c>
      <c r="AB263" s="922">
        <v>966</v>
      </c>
      <c r="AC263" s="922">
        <v>971</v>
      </c>
      <c r="AD263" s="922">
        <v>1126</v>
      </c>
      <c r="AE263" s="128">
        <f>AF263</f>
        <v>1203</v>
      </c>
      <c r="AF263" s="1031">
        <v>1203</v>
      </c>
      <c r="AG263" s="922">
        <v>1318</v>
      </c>
      <c r="AH263" s="922">
        <v>1408</v>
      </c>
      <c r="AI263" s="922">
        <v>1549</v>
      </c>
      <c r="AJ263" s="128">
        <f>AK263</f>
        <v>1544</v>
      </c>
      <c r="AK263" s="1031">
        <v>1544</v>
      </c>
      <c r="AL263" s="922">
        <v>1604</v>
      </c>
      <c r="AM263" s="922">
        <v>1770</v>
      </c>
      <c r="AN263" s="922">
        <v>1950</v>
      </c>
      <c r="AO263" s="128">
        <f>AP263</f>
        <v>1822</v>
      </c>
      <c r="AP263" s="1031">
        <v>1822</v>
      </c>
      <c r="AQ263" s="922">
        <v>1858</v>
      </c>
      <c r="AR263" s="922">
        <v>2058</v>
      </c>
      <c r="AS263" s="922">
        <v>1927</v>
      </c>
      <c r="AT263" s="128">
        <f>AU263</f>
        <v>1890</v>
      </c>
      <c r="AU263" s="1031">
        <v>1890</v>
      </c>
      <c r="AV263" s="922">
        <v>1879</v>
      </c>
      <c r="AW263" s="922">
        <v>1865</v>
      </c>
      <c r="AX263" s="922">
        <v>1963</v>
      </c>
      <c r="AY263" s="128">
        <f>AZ263</f>
        <v>1917</v>
      </c>
      <c r="AZ263" s="1031">
        <v>1917</v>
      </c>
      <c r="BA263" s="922">
        <v>2085</v>
      </c>
      <c r="BB263" s="922">
        <v>2128</v>
      </c>
      <c r="BC263" s="922">
        <v>2109</v>
      </c>
      <c r="BD263" s="128">
        <f>BE263</f>
        <v>2180</v>
      </c>
      <c r="BE263" s="1032">
        <v>2180</v>
      </c>
      <c r="BF263" s="922">
        <v>2226</v>
      </c>
      <c r="BG263" s="922">
        <v>2305</v>
      </c>
      <c r="BH263" s="924">
        <v>2467</v>
      </c>
      <c r="BI263" s="128">
        <f>BD263*(1+BI265)</f>
        <v>2572.40</v>
      </c>
      <c r="BJ263" s="1000">
        <f>BI263</f>
        <v>2572.40</v>
      </c>
      <c r="BK263" s="128">
        <f>BF263*(1+BK265)</f>
        <v>2626.68</v>
      </c>
      <c r="BL263" s="128">
        <f>BG263*(1+BL265)</f>
        <v>2719.8999999999996</v>
      </c>
      <c r="BM263" s="128">
        <f>BH263*(1+BM265)</f>
        <v>2911.06</v>
      </c>
      <c r="BN263" s="128">
        <f>BI263*(1+BN265)</f>
        <v>3035.4319999999998</v>
      </c>
      <c r="BO263" s="1000">
        <f>BN263</f>
        <v>3035.4319999999998</v>
      </c>
      <c r="BP263" s="1000">
        <f>BO263*(1+BP265)</f>
        <v>3399.6838400000001</v>
      </c>
      <c r="BQ263" s="1000">
        <f>BP263*(1+BQ265)</f>
        <v>3807.6459008000006</v>
      </c>
      <c r="BR263" s="1000">
        <f>BQ263*(1+BR265)</f>
        <v>4264.5634088960014</v>
      </c>
      <c r="BS263" s="57"/>
    </row>
    <row r="264" spans="1:71" s="51" customFormat="1" ht="15">
      <c r="A264" s="109" t="s">
        <v>707</v>
      </c>
      <c r="B264" s="391"/>
      <c r="C264" s="1000"/>
      <c r="D264" s="1000"/>
      <c r="E264" s="1000"/>
      <c r="F264" s="1000"/>
      <c r="G264" s="1000"/>
      <c r="H264" s="128"/>
      <c r="I264" s="128"/>
      <c r="J264" s="128"/>
      <c r="K264" s="128"/>
      <c r="L264" s="1000"/>
      <c r="M264" s="128"/>
      <c r="N264" s="128"/>
      <c r="O264" s="128"/>
      <c r="P264" s="128"/>
      <c r="Q264" s="1000"/>
      <c r="R264" s="128"/>
      <c r="S264" s="128"/>
      <c r="T264" s="128"/>
      <c r="U264" s="128"/>
      <c r="V264" s="1000"/>
      <c r="W264" s="128"/>
      <c r="X264" s="128"/>
      <c r="Y264" s="128"/>
      <c r="Z264" s="128"/>
      <c r="AA264" s="1000"/>
      <c r="AB264" s="57">
        <f t="shared" si="920" ref="AB264">AVERAGE(AA263,AB263)</f>
        <v>960</v>
      </c>
      <c r="AC264" s="57">
        <f t="shared" si="921" ref="AC264">AVERAGE(AB263,AC263)</f>
        <v>968.50</v>
      </c>
      <c r="AD264" s="57">
        <f t="shared" si="922" ref="AD264">AVERAGE(AC263,AD263)</f>
        <v>1048.50</v>
      </c>
      <c r="AE264" s="57">
        <f t="shared" si="923" ref="AE264">AVERAGE(AD263,AE263)</f>
        <v>1164.50</v>
      </c>
      <c r="AF264" s="999">
        <f>SUM(AB264*AB$3,AC264*AC$3,AD264*AD$3,AE264*AE$3)/SUM(AB$3,AC$3,AD$3,AE$3)</f>
        <v>1035.9712328767123</v>
      </c>
      <c r="AG264" s="57">
        <f t="shared" si="924" ref="AG264">AVERAGE(AF263,AG263)</f>
        <v>1260.50</v>
      </c>
      <c r="AH264" s="57">
        <f t="shared" si="925" ref="AH264">AVERAGE(AG263,AH263)</f>
        <v>1363</v>
      </c>
      <c r="AI264" s="57">
        <f t="shared" si="926" ref="AI264">AVERAGE(AH263,AI263)</f>
        <v>1478.50</v>
      </c>
      <c r="AJ264" s="57">
        <f t="shared" si="927" ref="AJ264">AVERAGE(AI263,AJ263)</f>
        <v>1546.50</v>
      </c>
      <c r="AK264" s="999">
        <f>SUM(AG264*AG$3,AH264*AH$3,AI264*AI$3,AJ264*AJ$3)/SUM(AG$3,AH$3,AI$3,AJ$3)</f>
        <v>1413.0904109589042</v>
      </c>
      <c r="AL264" s="57">
        <f t="shared" si="928" ref="AL264">AVERAGE(AK263,AL263)</f>
        <v>1574</v>
      </c>
      <c r="AM264" s="57">
        <f>AVERAGE(AL263,AM263)</f>
        <v>1687</v>
      </c>
      <c r="AN264" s="57">
        <f>AVERAGE(AM263,AN263)</f>
        <v>1860</v>
      </c>
      <c r="AO264" s="57">
        <f t="shared" si="929" ref="AO264">AVERAGE(AN263,AO263)</f>
        <v>1886</v>
      </c>
      <c r="AP264" s="999">
        <f>SUM(AL264*AL$3,AM264*AM$3,AN264*AN$3,AO264*AO$3)/SUM(AL$3,AM$3,AN$3,AO$3)</f>
        <v>1752.4125683060108</v>
      </c>
      <c r="AQ264" s="57">
        <f>AVERAGE(AP263,AQ263)</f>
        <v>1840</v>
      </c>
      <c r="AR264" s="57">
        <f>AVERAGE(AQ263,AR263)</f>
        <v>1958</v>
      </c>
      <c r="AS264" s="57">
        <f>AVERAGE(AR263,AS263)</f>
        <v>1992.50</v>
      </c>
      <c r="AT264" s="57">
        <f>AVERAGE(AS263,AT263)</f>
        <v>1908.50</v>
      </c>
      <c r="AU264" s="999">
        <f>SUM(AQ264*AQ$3,AR264*AR$3,AS264*AS$3,AT264*AT$3)/SUM(AQ$3,AR$3,AS$3,AT$3)</f>
        <v>1925.1232876712329</v>
      </c>
      <c r="AV264" s="57">
        <f>AVERAGE(AU263,AV263)</f>
        <v>1884.50</v>
      </c>
      <c r="AW264" s="57">
        <f>AVERAGE(AV263,AW263)</f>
        <v>1872</v>
      </c>
      <c r="AX264" s="57">
        <f>AVERAGE(AW263,AX263)</f>
        <v>1914</v>
      </c>
      <c r="AY264" s="57">
        <f>AVERAGE(AX263,AY263)</f>
        <v>1940</v>
      </c>
      <c r="AZ264" s="999">
        <f>SUM(AV264*AV$3,AW264*AW$3,AX264*AX$3,AY264*AY$3)/SUM(AV$3,AW$3,AX$3,AY$3)</f>
        <v>1902.8082191780823</v>
      </c>
      <c r="BA264" s="57">
        <f>AVERAGE(AZ263,BA263)</f>
        <v>2001</v>
      </c>
      <c r="BB264" s="57">
        <f>AVERAGE(BA263,BB263)</f>
        <v>2106.50</v>
      </c>
      <c r="BC264" s="57">
        <f>AVERAGE(BB263,BC263)</f>
        <v>2118.50</v>
      </c>
      <c r="BD264" s="57">
        <f>AVERAGE(BC263,BD263)</f>
        <v>2144.50</v>
      </c>
      <c r="BE264" s="999">
        <f>SUM(BA264*BA$3,BB264*BB$3,BC264*BC$3,BD264*BD$3)/SUM(BA$3,BB$3,BC$3,BD$3)</f>
        <v>2093.0890410958905</v>
      </c>
      <c r="BF264" s="57">
        <f>AVERAGE(BE263,BF263)</f>
        <v>2203</v>
      </c>
      <c r="BG264" s="57">
        <f>AVERAGE(BF263,BG263)</f>
        <v>2265.50</v>
      </c>
      <c r="BH264" s="745">
        <f>AVERAGE(BG263,BH263)</f>
        <v>2386</v>
      </c>
      <c r="BI264" s="128">
        <f>AVERAGE(BH263,BI263)</f>
        <v>2519.6999999999998</v>
      </c>
      <c r="BJ264" s="1000">
        <f>SUM(BF264*BF$3,BG264*BG$3,BH264*BH$3,BI264*BI$3)/SUM(BF$3,BG$3,BH$3,BI$3)</f>
        <v>2344.147267759563</v>
      </c>
      <c r="BK264" s="128">
        <f>AVERAGE(BJ263,BK263)</f>
        <v>2599.54</v>
      </c>
      <c r="BL264" s="128">
        <f>AVERAGE(BK263,BL263)</f>
        <v>2673.29</v>
      </c>
      <c r="BM264" s="128">
        <f>AVERAGE(BL263,BM263)</f>
        <v>2815.4799999999996</v>
      </c>
      <c r="BN264" s="128">
        <f>AVERAGE(BM263,BN263)</f>
        <v>2973.2460000000001</v>
      </c>
      <c r="BO264" s="1000">
        <f>SUM(BK264*BK$3,BL264*BL$3,BM264*BM$3,BN264*BN$3)/SUM(BK$3,BL$3,BM$3,BN$3)</f>
        <v>2766.5500876712326</v>
      </c>
      <c r="BP264" s="1000">
        <f>AVERAGE(BO263,BP263)</f>
        <v>3217.5579200000002</v>
      </c>
      <c r="BQ264" s="1000">
        <f>AVERAGE(BP263,BQ263)</f>
        <v>3603.6648704000004</v>
      </c>
      <c r="BR264" s="1000">
        <f>AVERAGE(BQ263,BR263)</f>
        <v>4036.1046548480008</v>
      </c>
      <c r="BS264" s="57"/>
    </row>
    <row r="265" spans="1:71" s="29" customFormat="1" ht="15">
      <c r="A265" s="42" t="s">
        <v>708</v>
      </c>
      <c r="B265" s="232"/>
      <c r="C265" s="1025"/>
      <c r="D265" s="1025"/>
      <c r="E265" s="1025"/>
      <c r="F265" s="1025"/>
      <c r="G265" s="1025"/>
      <c r="H265" s="650"/>
      <c r="I265" s="650"/>
      <c r="J265" s="650"/>
      <c r="K265" s="650"/>
      <c r="L265" s="1025"/>
      <c r="M265" s="650"/>
      <c r="N265" s="650"/>
      <c r="O265" s="650"/>
      <c r="P265" s="650"/>
      <c r="Q265" s="1025"/>
      <c r="R265" s="650"/>
      <c r="S265" s="650"/>
      <c r="T265" s="650"/>
      <c r="U265" s="650"/>
      <c r="V265" s="1025"/>
      <c r="W265" s="650"/>
      <c r="X265" s="650"/>
      <c r="Y265" s="650"/>
      <c r="Z265" s="650"/>
      <c r="AA265" s="1025"/>
      <c r="AB265" s="650"/>
      <c r="AC265" s="650"/>
      <c r="AD265" s="650"/>
      <c r="AE265" s="650"/>
      <c r="AF265" s="1033">
        <f t="shared" si="930" ref="AF265">AF263/AA263-1</f>
        <v>0.26100628930817615</v>
      </c>
      <c r="AG265" s="649">
        <f t="shared" si="931" ref="AG265">AG263/AB263-1</f>
        <v>0.36438923395445144</v>
      </c>
      <c r="AH265" s="649">
        <f t="shared" si="932" ref="AH265">AH263/AC263-1</f>
        <v>0.45005149330587013</v>
      </c>
      <c r="AI265" s="649">
        <f t="shared" si="933" ref="AI265">AI263/AD263-1</f>
        <v>0.37566607460035528</v>
      </c>
      <c r="AJ265" s="649">
        <f t="shared" si="934" ref="AJ265">AJ263/AE263-1</f>
        <v>0.283458021612635</v>
      </c>
      <c r="AK265" s="1033">
        <f t="shared" si="935" ref="AK265">AK263/AF263-1</f>
        <v>0.283458021612635</v>
      </c>
      <c r="AL265" s="649">
        <f t="shared" si="936" ref="AL265">AL263/AG263-1</f>
        <v>0.21699544764795142</v>
      </c>
      <c r="AM265" s="649">
        <f>AM263/AH263-1</f>
        <v>0.25710227272727271</v>
      </c>
      <c r="AN265" s="649">
        <f>AN263/AI263-1</f>
        <v>0.25887669464170426</v>
      </c>
      <c r="AO265" s="649">
        <f t="shared" si="937" ref="AO265:AP265">AO263/AJ263-1</f>
        <v>0.18005181347150256</v>
      </c>
      <c r="AP265" s="1033">
        <f t="shared" si="937"/>
        <v>0.18005181347150256</v>
      </c>
      <c r="AQ265" s="649">
        <f t="shared" si="938" ref="AQ265:AV265">AQ263/AL263-1</f>
        <v>0.15835411471321703</v>
      </c>
      <c r="AR265" s="649">
        <f t="shared" si="938"/>
        <v>0.16271186440677976</v>
      </c>
      <c r="AS265" s="649">
        <f t="shared" si="938"/>
        <v>-0.01179487179487182</v>
      </c>
      <c r="AT265" s="649">
        <f t="shared" si="938"/>
        <v>0.037321624588364521</v>
      </c>
      <c r="AU265" s="1033">
        <f t="shared" si="938"/>
        <v>0.037321624588364521</v>
      </c>
      <c r="AV265" s="649">
        <f t="shared" si="938"/>
        <v>0.011302475780408994</v>
      </c>
      <c r="AW265" s="649">
        <f t="shared" si="939" ref="AW265:BB265">AW263/AR263-1</f>
        <v>-0.093780369290573318</v>
      </c>
      <c r="AX265" s="649">
        <f t="shared" si="939"/>
        <v>0.018681888946548986</v>
      </c>
      <c r="AY265" s="649">
        <f t="shared" si="939"/>
        <v>0.014285714285714235</v>
      </c>
      <c r="AZ265" s="1033">
        <f t="shared" si="939"/>
        <v>0.014285714285714235</v>
      </c>
      <c r="BA265" s="649">
        <f t="shared" si="939"/>
        <v>0.10963278339542315</v>
      </c>
      <c r="BB265" s="649">
        <f t="shared" si="939"/>
        <v>0.14101876675603209</v>
      </c>
      <c r="BC265" s="649">
        <f t="shared" si="940" ref="BC265:BH265">BC263/AX263-1</f>
        <v>0.074375955170657093</v>
      </c>
      <c r="BD265" s="649">
        <f t="shared" si="940"/>
        <v>0.1371935315597288</v>
      </c>
      <c r="BE265" s="1033">
        <f t="shared" si="940"/>
        <v>0.1371935315597288</v>
      </c>
      <c r="BF265" s="649">
        <f t="shared" si="940"/>
        <v>0.067625899280575608</v>
      </c>
      <c r="BG265" s="649">
        <f t="shared" si="940"/>
        <v>0.083176691729323293</v>
      </c>
      <c r="BH265" s="753">
        <f t="shared" si="940"/>
        <v>0.16974869606448562</v>
      </c>
      <c r="BI265" s="925">
        <v>0.18</v>
      </c>
      <c r="BJ265" s="1025">
        <f>BJ263/BE263-1</f>
        <v>0.17999999999999994</v>
      </c>
      <c r="BK265" s="925">
        <v>0.18</v>
      </c>
      <c r="BL265" s="925">
        <v>0.18</v>
      </c>
      <c r="BM265" s="925">
        <v>0.18</v>
      </c>
      <c r="BN265" s="925">
        <v>0.18</v>
      </c>
      <c r="BO265" s="1025">
        <f>BO263/BJ263-1</f>
        <v>0.17999999999999994</v>
      </c>
      <c r="BP265" s="1034">
        <v>0.12</v>
      </c>
      <c r="BQ265" s="1034">
        <v>0.12</v>
      </c>
      <c r="BR265" s="1034">
        <v>0.12</v>
      </c>
      <c r="BS265" s="649"/>
    </row>
    <row r="266" spans="1:71" s="51" customFormat="1" ht="15">
      <c r="A266" s="220"/>
      <c r="B266" s="391"/>
      <c r="C266" s="1000"/>
      <c r="D266" s="1000"/>
      <c r="E266" s="1000"/>
      <c r="F266" s="1000"/>
      <c r="G266" s="1000"/>
      <c r="H266" s="128"/>
      <c r="I266" s="128"/>
      <c r="J266" s="128"/>
      <c r="K266" s="128"/>
      <c r="L266" s="1000"/>
      <c r="M266" s="128"/>
      <c r="N266" s="128"/>
      <c r="O266" s="128"/>
      <c r="P266" s="128"/>
      <c r="Q266" s="1000"/>
      <c r="R266" s="128"/>
      <c r="S266" s="128"/>
      <c r="T266" s="128"/>
      <c r="U266" s="128"/>
      <c r="V266" s="1000"/>
      <c r="W266" s="128"/>
      <c r="X266" s="128"/>
      <c r="Y266" s="128"/>
      <c r="Z266" s="128"/>
      <c r="AA266" s="1000"/>
      <c r="AB266" s="128"/>
      <c r="AC266" s="128"/>
      <c r="AD266" s="128"/>
      <c r="AE266" s="128"/>
      <c r="AF266" s="1000"/>
      <c r="AG266" s="128"/>
      <c r="AH266" s="128"/>
      <c r="AI266" s="128"/>
      <c r="AJ266" s="128"/>
      <c r="AK266" s="1000"/>
      <c r="AL266" s="128"/>
      <c r="AM266" s="128"/>
      <c r="AN266" s="128"/>
      <c r="AO266" s="128"/>
      <c r="AP266" s="1000"/>
      <c r="AQ266" s="128"/>
      <c r="AR266" s="128"/>
      <c r="AS266" s="128"/>
      <c r="AT266" s="128"/>
      <c r="AU266" s="1000"/>
      <c r="AV266" s="128"/>
      <c r="AW266" s="128"/>
      <c r="AX266" s="128"/>
      <c r="AY266" s="128"/>
      <c r="AZ266" s="1000"/>
      <c r="BA266" s="128"/>
      <c r="BB266" s="128"/>
      <c r="BC266" s="128"/>
      <c r="BD266" s="128"/>
      <c r="BE266" s="1000"/>
      <c r="BF266" s="128"/>
      <c r="BG266" s="128"/>
      <c r="BH266" s="465"/>
      <c r="BI266" s="128"/>
      <c r="BJ266" s="1000"/>
      <c r="BK266" s="128"/>
      <c r="BL266" s="128"/>
      <c r="BM266" s="128"/>
      <c r="BN266" s="128"/>
      <c r="BO266" s="1000"/>
      <c r="BP266" s="1000"/>
      <c r="BQ266" s="1000"/>
      <c r="BR266" s="1000"/>
      <c r="BS266" s="57"/>
    </row>
    <row r="267" spans="1:71" s="32" customFormat="1" ht="15">
      <c r="A267" s="220" t="s">
        <v>709</v>
      </c>
      <c r="B267" s="234"/>
      <c r="C267" s="1035"/>
      <c r="D267" s="1035"/>
      <c r="E267" s="1035"/>
      <c r="F267" s="1035"/>
      <c r="G267" s="1035"/>
      <c r="H267" s="221"/>
      <c r="I267" s="221"/>
      <c r="J267" s="221"/>
      <c r="K267" s="221"/>
      <c r="L267" s="1035"/>
      <c r="M267" s="221"/>
      <c r="N267" s="221"/>
      <c r="O267" s="221"/>
      <c r="P267" s="221"/>
      <c r="Q267" s="1035"/>
      <c r="R267" s="221"/>
      <c r="S267" s="221"/>
      <c r="T267" s="221"/>
      <c r="U267" s="221"/>
      <c r="V267" s="1035"/>
      <c r="W267" s="221"/>
      <c r="X267" s="221"/>
      <c r="Y267" s="221"/>
      <c r="Z267" s="221"/>
      <c r="AA267" s="1035"/>
      <c r="AB267" s="54">
        <f>AB233/AB264*(AF$3/AB$3)</f>
        <v>0.021122685185185182</v>
      </c>
      <c r="AC267" s="54">
        <f>AC233/AC264*(AF$3/AC$3)</f>
        <v>0.024848667078920045</v>
      </c>
      <c r="AD267" s="54">
        <f>AD233/AD264*(AF$3/AD$3)</f>
        <v>0.026487114096742759</v>
      </c>
      <c r="AE267" s="54">
        <f>AE233/AE264*(AF$3/AE$3)</f>
        <v>0.03066253476954095</v>
      </c>
      <c r="AF267" s="1036">
        <f>AF233/AF264</f>
        <v>0.026062499752069066</v>
      </c>
      <c r="AG267" s="54">
        <f>AG233/AG264*(AK$3/AG$3)</f>
        <v>0.028956763189210626</v>
      </c>
      <c r="AH267" s="54">
        <f>AH233/AH264*(AK$3/AH$3)</f>
        <v>0.029427652318334635</v>
      </c>
      <c r="AI267" s="54">
        <f>AI233/AI264*(AK$3/AI$3)</f>
        <v>0.029517283968769761</v>
      </c>
      <c r="AJ267" s="54">
        <f>AJ233/AJ264*(AK$3/AJ$3)</f>
        <v>0.030784801585628137</v>
      </c>
      <c r="AK267" s="1036">
        <f>AK233/AK264</f>
        <v>0.029722089736281886</v>
      </c>
      <c r="AL267" s="54">
        <f>AL233/AL264*(AP$3/AL$3)</f>
        <v>0.025552592261613861</v>
      </c>
      <c r="AM267" s="54">
        <f>AM233/AM264*(AP$3/AM$3)</f>
        <v>0.026225108619892259</v>
      </c>
      <c r="AN267" s="54">
        <f>AN233/AN264*(AP$3/AN$3)</f>
        <v>0.025666199158485274</v>
      </c>
      <c r="AO267" s="54">
        <f>AO233/AO264*(AP$3/AO$3)</f>
        <v>0.023203006132140717</v>
      </c>
      <c r="AP267" s="1036">
        <f>AP233/AP264</f>
        <v>0.025108242656883641</v>
      </c>
      <c r="AQ267" s="54">
        <f>AQ233/AQ264*(AU$3/AQ$3)</f>
        <v>0.022041062801932364</v>
      </c>
      <c r="AR267" s="54">
        <f>AR233/AR264*(AU$3/AR$3)</f>
        <v>0.024582159413620085</v>
      </c>
      <c r="AS267" s="54">
        <f>AS233/AS264*(AU$3/AS$3)</f>
        <v>0.019911625115923842</v>
      </c>
      <c r="AT267" s="54">
        <f>AT233/AT264*(AU$3/AT$3)</f>
        <v>0.022866808670592657</v>
      </c>
      <c r="AU267" s="1036">
        <f>AU233/AU264</f>
        <v>0.02233623180155692</v>
      </c>
      <c r="AV267" s="54">
        <f>AV233/AV264*(AZ$3/AV$3)</f>
        <v>0.019368532767312284</v>
      </c>
      <c r="AW267" s="54">
        <f>AW233/AW264*(AZ$3/AW$3)</f>
        <v>0.025711468019160327</v>
      </c>
      <c r="AX267" s="54">
        <f>AX233/AX264*(AZ$3/AX$3)</f>
        <v>0.026946753895779382</v>
      </c>
      <c r="AY267" s="54">
        <f>AY233/AY264*(AZ$3/AY$3)</f>
        <v>0.028630658897355447</v>
      </c>
      <c r="AZ267" s="1036">
        <f>AZ233/AZ264</f>
        <v>0.025225873798639355</v>
      </c>
      <c r="BA267" s="54">
        <f>BA233/BA264*(BE$3/BA$3)</f>
        <v>0.0324282303292798</v>
      </c>
      <c r="BB267" s="54">
        <f>BB233/BB264*(BE$3/BB$3)</f>
        <v>0.034273820174603467</v>
      </c>
      <c r="BC267" s="54">
        <f>BC233/BC264*(BE$3/BC$3)</f>
        <v>0.035581984792357184</v>
      </c>
      <c r="BD267" s="54">
        <f>BD233/BD264*(BE$3/BD$3)</f>
        <v>0.037000618366498726</v>
      </c>
      <c r="BE267" s="1036">
        <f>BE233/BE264</f>
        <v>0.034876681577664263</v>
      </c>
      <c r="BF267" s="54">
        <f>BF233/BF264*(BJ$3/BF$3)</f>
        <v>0.038339327490485006</v>
      </c>
      <c r="BG267" s="54">
        <f>BG233/BG264*(BJ$3/BG$3)</f>
        <v>0.040832264182517987</v>
      </c>
      <c r="BH267" s="754">
        <f>BH233/BH264*(BJ$3/BH$3)</f>
        <v>0.040016035569809393</v>
      </c>
      <c r="BI267" s="927">
        <v>0.0325</v>
      </c>
      <c r="BJ267" s="1035">
        <f>BJ233/BJ264</f>
        <v>0.037789619980187837</v>
      </c>
      <c r="BK267" s="927">
        <v>0.0325</v>
      </c>
      <c r="BL267" s="927">
        <v>0.0325</v>
      </c>
      <c r="BM267" s="927">
        <v>0.0325</v>
      </c>
      <c r="BN267" s="927">
        <v>0.0325</v>
      </c>
      <c r="BO267" s="1035">
        <f>BO233/BO264</f>
        <v>0.0325</v>
      </c>
      <c r="BP267" s="1037">
        <v>0.0325</v>
      </c>
      <c r="BQ267" s="1037">
        <v>0.0325</v>
      </c>
      <c r="BR267" s="1037">
        <v>0.0325</v>
      </c>
      <c r="BS267" s="54"/>
    </row>
    <row r="268" spans="1:71" s="51" customFormat="1" ht="15">
      <c r="A268" s="480"/>
      <c r="B268" s="391"/>
      <c r="C268" s="1000"/>
      <c r="D268" s="1000"/>
      <c r="E268" s="1000"/>
      <c r="F268" s="1000"/>
      <c r="G268" s="1000"/>
      <c r="H268" s="128"/>
      <c r="I268" s="128"/>
      <c r="J268" s="128"/>
      <c r="K268" s="128"/>
      <c r="L268" s="1000"/>
      <c r="M268" s="128"/>
      <c r="N268" s="128"/>
      <c r="O268" s="128"/>
      <c r="P268" s="128"/>
      <c r="Q268" s="1000"/>
      <c r="R268" s="128"/>
      <c r="S268" s="128"/>
      <c r="T268" s="128"/>
      <c r="U268" s="128"/>
      <c r="V268" s="1000"/>
      <c r="W268" s="128"/>
      <c r="X268" s="128"/>
      <c r="Y268" s="128"/>
      <c r="Z268" s="128"/>
      <c r="AA268" s="1000"/>
      <c r="AB268" s="128"/>
      <c r="AC268" s="128"/>
      <c r="AD268" s="128"/>
      <c r="AE268" s="128"/>
      <c r="AF268" s="1000"/>
      <c r="AG268" s="128"/>
      <c r="AH268" s="128"/>
      <c r="AI268" s="128"/>
      <c r="AJ268" s="128"/>
      <c r="AK268" s="1000"/>
      <c r="AL268" s="128"/>
      <c r="AM268" s="128"/>
      <c r="AN268" s="128"/>
      <c r="AO268" s="128"/>
      <c r="AP268" s="1000"/>
      <c r="AQ268" s="128"/>
      <c r="AR268" s="128"/>
      <c r="AS268" s="128"/>
      <c r="AT268" s="128"/>
      <c r="AU268" s="1000"/>
      <c r="AV268" s="128"/>
      <c r="AW268" s="128"/>
      <c r="AX268" s="128"/>
      <c r="AY268" s="128"/>
      <c r="AZ268" s="1000"/>
      <c r="BA268" s="128"/>
      <c r="BB268" s="128"/>
      <c r="BC268" s="128"/>
      <c r="BD268" s="128"/>
      <c r="BE268" s="1000"/>
      <c r="BF268" s="128"/>
      <c r="BG268" s="128"/>
      <c r="BH268" s="465"/>
      <c r="BI268" s="128"/>
      <c r="BJ268" s="1000"/>
      <c r="BK268" s="128"/>
      <c r="BL268" s="128"/>
      <c r="BM268" s="128"/>
      <c r="BN268" s="128"/>
      <c r="BO268" s="1000"/>
      <c r="BP268" s="1000"/>
      <c r="BQ268" s="1000"/>
      <c r="BR268" s="1000"/>
      <c r="BS268" s="57"/>
    </row>
    <row r="269" spans="1:71" s="17" customFormat="1" ht="15">
      <c r="A269" s="818" t="s">
        <v>720</v>
      </c>
      <c r="B269" s="818"/>
      <c r="C269" s="837"/>
      <c r="D269" s="837"/>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7"/>
      <c r="AD269" s="837"/>
      <c r="AE269" s="837"/>
      <c r="AF269" s="837"/>
      <c r="AG269" s="837"/>
      <c r="AH269" s="837"/>
      <c r="AI269" s="837"/>
      <c r="AJ269" s="837"/>
      <c r="AK269" s="837"/>
      <c r="AL269" s="837"/>
      <c r="AM269" s="837"/>
      <c r="AN269" s="837"/>
      <c r="AO269" s="837"/>
      <c r="AP269" s="837"/>
      <c r="AQ269" s="837"/>
      <c r="AR269" s="837"/>
      <c r="AS269" s="837"/>
      <c r="AT269" s="837"/>
      <c r="AU269" s="837"/>
      <c r="AV269" s="837"/>
      <c r="AW269" s="837"/>
      <c r="AX269" s="837"/>
      <c r="AY269" s="837"/>
      <c r="AZ269" s="837"/>
      <c r="BA269" s="837"/>
      <c r="BB269" s="837"/>
      <c r="BC269" s="837"/>
      <c r="BD269" s="837"/>
      <c r="BE269" s="837"/>
      <c r="BF269" s="837"/>
      <c r="BG269" s="837"/>
      <c r="BH269" s="838"/>
      <c r="BI269" s="837"/>
      <c r="BJ269" s="837"/>
      <c r="BK269" s="837"/>
      <c r="BL269" s="837"/>
      <c r="BM269" s="837"/>
      <c r="BN269" s="837"/>
      <c r="BO269" s="837"/>
      <c r="BP269" s="837"/>
      <c r="BQ269" s="837"/>
      <c r="BR269" s="837"/>
      <c r="BS269" s="457"/>
    </row>
    <row r="270" spans="1:71" s="300" customFormat="1" ht="15">
      <c r="A270" s="304" t="s">
        <v>721</v>
      </c>
      <c r="B270" s="233"/>
      <c r="C270" s="989"/>
      <c r="D270" s="989"/>
      <c r="E270" s="989"/>
      <c r="F270" s="989"/>
      <c r="G270" s="989"/>
      <c r="H270" s="92"/>
      <c r="I270" s="92"/>
      <c r="J270" s="92"/>
      <c r="K270" s="92"/>
      <c r="L270" s="989"/>
      <c r="M270" s="92"/>
      <c r="N270" s="92"/>
      <c r="O270" s="92"/>
      <c r="P270" s="92"/>
      <c r="Q270" s="988">
        <v>921</v>
      </c>
      <c r="R270" s="897">
        <v>251</v>
      </c>
      <c r="S270" s="897">
        <v>251</v>
      </c>
      <c r="T270" s="897">
        <v>257</v>
      </c>
      <c r="U270" s="305">
        <f>V270-SUM(R270,S270,T270)</f>
        <v>252</v>
      </c>
      <c r="V270" s="988">
        <v>1011</v>
      </c>
      <c r="W270" s="897">
        <v>269</v>
      </c>
      <c r="X270" s="897">
        <v>269</v>
      </c>
      <c r="Y270" s="897">
        <v>273</v>
      </c>
      <c r="Z270" s="305">
        <f>AA270-SUM(W270,X270,Y270)</f>
        <v>273</v>
      </c>
      <c r="AA270" s="988">
        <v>1084</v>
      </c>
      <c r="AB270" s="897">
        <v>286</v>
      </c>
      <c r="AC270" s="897">
        <v>283</v>
      </c>
      <c r="AD270" s="897">
        <v>285</v>
      </c>
      <c r="AE270" s="305">
        <f>AF270-SUM(AB270,AC270,AD270)</f>
        <v>281</v>
      </c>
      <c r="AF270" s="988">
        <v>1135</v>
      </c>
      <c r="AG270" s="897">
        <v>288</v>
      </c>
      <c r="AH270" s="897">
        <v>284</v>
      </c>
      <c r="AI270" s="897">
        <v>291</v>
      </c>
      <c r="AJ270" s="305">
        <f>AK270-SUM(AG270,AH270,AI270)</f>
        <v>282</v>
      </c>
      <c r="AK270" s="988">
        <v>1145</v>
      </c>
      <c r="AL270" s="897">
        <v>282</v>
      </c>
      <c r="AM270" s="897">
        <v>263</v>
      </c>
      <c r="AN270" s="897">
        <v>287</v>
      </c>
      <c r="AO270" s="305">
        <f>AP270-SUM(AL270,AM270,AN270)</f>
        <v>262</v>
      </c>
      <c r="AP270" s="988">
        <v>1094</v>
      </c>
      <c r="AQ270" s="897">
        <v>455</v>
      </c>
      <c r="AR270" s="897">
        <v>447</v>
      </c>
      <c r="AS270" s="897">
        <v>460</v>
      </c>
      <c r="AT270" s="305">
        <f>AU270-SUM(AQ270,AR270,AS270)</f>
        <v>459</v>
      </c>
      <c r="AU270" s="988">
        <f>1714+107</f>
        <v>1821</v>
      </c>
      <c r="AV270" s="897">
        <v>468</v>
      </c>
      <c r="AW270" s="897">
        <v>465</v>
      </c>
      <c r="AX270" s="897">
        <v>463</v>
      </c>
      <c r="AY270" s="305">
        <f>AZ270-SUM(AV270,AW270,AX270)</f>
        <v>436</v>
      </c>
      <c r="AZ270" s="988">
        <v>1832</v>
      </c>
      <c r="BA270" s="897">
        <f>255+107+101</f>
        <v>463</v>
      </c>
      <c r="BB270" s="897">
        <v>453</v>
      </c>
      <c r="BC270" s="897">
        <v>463</v>
      </c>
      <c r="BD270" s="305">
        <f>BE270-SUM(BA270,BB270,BC270)</f>
        <v>467</v>
      </c>
      <c r="BE270" s="988">
        <v>1846</v>
      </c>
      <c r="BF270" s="897">
        <f>248+118+112</f>
        <v>478</v>
      </c>
      <c r="BG270" s="897">
        <v>474</v>
      </c>
      <c r="BH270" s="898">
        <v>487</v>
      </c>
      <c r="BI270" s="92">
        <f>BD270*(1+BI284)</f>
        <v>481.01</v>
      </c>
      <c r="BJ270" s="989">
        <f>SUM(BF270,BG270,BH270,BI270)</f>
        <v>1920.01</v>
      </c>
      <c r="BK270" s="92">
        <f>BF270*(1+BK284)</f>
        <v>492.34</v>
      </c>
      <c r="BL270" s="92">
        <f>BG270*(1+BL284)</f>
        <v>488.22</v>
      </c>
      <c r="BM270" s="92">
        <f>BH270*(1+BM284)</f>
        <v>501.61</v>
      </c>
      <c r="BN270" s="92">
        <f>BI270*(1+BN284)</f>
        <v>495.44029999999998</v>
      </c>
      <c r="BO270" s="989">
        <f>SUM(BK270,BL270,BM270,BN270)</f>
        <v>1977.6103000000001</v>
      </c>
      <c r="BP270" s="989">
        <f>BO270*(1+BP284)</f>
        <v>2036.938609</v>
      </c>
      <c r="BQ270" s="989">
        <f>BP270*(1+BQ284)</f>
        <v>2098.0467672700001</v>
      </c>
      <c r="BR270" s="989">
        <f>BQ270*(1+BR284)</f>
        <v>2160.9881702881003</v>
      </c>
      <c r="BS270" s="305"/>
    </row>
    <row r="271" spans="1:71" s="300" customFormat="1" ht="15">
      <c r="A271" s="304" t="s">
        <v>722</v>
      </c>
      <c r="B271" s="233"/>
      <c r="C271" s="989"/>
      <c r="D271" s="989"/>
      <c r="E271" s="989"/>
      <c r="F271" s="989"/>
      <c r="G271" s="989"/>
      <c r="H271" s="92"/>
      <c r="I271" s="92"/>
      <c r="J271" s="92"/>
      <c r="K271" s="92"/>
      <c r="L271" s="989"/>
      <c r="M271" s="92"/>
      <c r="N271" s="92"/>
      <c r="O271" s="92"/>
      <c r="P271" s="92"/>
      <c r="Q271" s="988">
        <v>71</v>
      </c>
      <c r="R271" s="897">
        <v>18</v>
      </c>
      <c r="S271" s="897">
        <v>18</v>
      </c>
      <c r="T271" s="897">
        <v>18</v>
      </c>
      <c r="U271" s="305">
        <f>V271-SUM(R271,S271,T271)</f>
        <v>17</v>
      </c>
      <c r="V271" s="988">
        <v>71</v>
      </c>
      <c r="W271" s="897">
        <v>17</v>
      </c>
      <c r="X271" s="897">
        <v>19</v>
      </c>
      <c r="Y271" s="897">
        <v>18</v>
      </c>
      <c r="Z271" s="305">
        <f>AA271-SUM(W271,X271,Y271)</f>
        <v>18</v>
      </c>
      <c r="AA271" s="988">
        <v>72</v>
      </c>
      <c r="AB271" s="897">
        <v>19</v>
      </c>
      <c r="AC271" s="897">
        <v>19</v>
      </c>
      <c r="AD271" s="897">
        <v>19</v>
      </c>
      <c r="AE271" s="305">
        <f>AF271-SUM(AB271,AC271,AD271)</f>
        <v>20</v>
      </c>
      <c r="AF271" s="988">
        <v>77</v>
      </c>
      <c r="AG271" s="897">
        <v>19</v>
      </c>
      <c r="AH271" s="897">
        <v>21</v>
      </c>
      <c r="AI271" s="897">
        <v>21</v>
      </c>
      <c r="AJ271" s="305">
        <f>AK271-SUM(AG271,AH271,AI271)</f>
        <v>22</v>
      </c>
      <c r="AK271" s="988">
        <v>83</v>
      </c>
      <c r="AL271" s="897">
        <v>20</v>
      </c>
      <c r="AM271" s="897">
        <v>20</v>
      </c>
      <c r="AN271" s="897">
        <v>18</v>
      </c>
      <c r="AO271" s="305">
        <f>AP271-SUM(AL271,AM271,AN271)</f>
        <v>20</v>
      </c>
      <c r="AP271" s="988">
        <v>78</v>
      </c>
      <c r="AQ271" s="897">
        <v>19</v>
      </c>
      <c r="AR271" s="897">
        <v>19</v>
      </c>
      <c r="AS271" s="897">
        <v>18</v>
      </c>
      <c r="AT271" s="305">
        <f>AU271-SUM(AQ271,AR271,AS271)</f>
        <v>18</v>
      </c>
      <c r="AU271" s="988">
        <v>74</v>
      </c>
      <c r="AV271" s="897">
        <v>17</v>
      </c>
      <c r="AW271" s="897">
        <v>16</v>
      </c>
      <c r="AX271" s="897">
        <v>17</v>
      </c>
      <c r="AY271" s="305">
        <f>AZ271-SUM(AV271,AW271,AX271)</f>
        <v>19</v>
      </c>
      <c r="AZ271" s="988">
        <v>69</v>
      </c>
      <c r="BA271" s="897">
        <v>19</v>
      </c>
      <c r="BB271" s="897">
        <v>21</v>
      </c>
      <c r="BC271" s="897">
        <v>20</v>
      </c>
      <c r="BD271" s="305">
        <f>BE271-SUM(BA271,BB271,BC271)</f>
        <v>22</v>
      </c>
      <c r="BE271" s="988">
        <v>82</v>
      </c>
      <c r="BF271" s="897">
        <v>23</v>
      </c>
      <c r="BG271" s="897">
        <v>25</v>
      </c>
      <c r="BH271" s="898">
        <v>26</v>
      </c>
      <c r="BI271" s="92">
        <f>BI302*BI305/(BJ$3/BI$3)</f>
        <v>13.853593770491804</v>
      </c>
      <c r="BJ271" s="989">
        <f>SUM(BF271,BG271,BH271,BI271)</f>
        <v>87.853593770491798</v>
      </c>
      <c r="BK271" s="92">
        <f>BK302*BK305/(BO$3/BK$3)</f>
        <v>22.169888630136988</v>
      </c>
      <c r="BL271" s="92">
        <f>BL302*BL305/(BO$3/BL$3)</f>
        <v>22.720047287671232</v>
      </c>
      <c r="BM271" s="92">
        <f>BM302*BM305/(BO$3/BM$3)</f>
        <v>14.249346904109592</v>
      </c>
      <c r="BN271" s="92">
        <f>BN302*BN305/(BO$3/BN$3)</f>
        <v>14.169379798356164</v>
      </c>
      <c r="BO271" s="989">
        <f>SUM(BK271,BL271,BM271,BN271)</f>
        <v>73.308662620273978</v>
      </c>
      <c r="BP271" s="989">
        <f>BP302*BP305</f>
        <v>92.860600284</v>
      </c>
      <c r="BQ271" s="989">
        <f>BQ302*BQ305</f>
        <v>94.717812289679998</v>
      </c>
      <c r="BR271" s="989">
        <f>BR302*BR305</f>
        <v>96.6121685354736</v>
      </c>
      <c r="BS271" s="305"/>
    </row>
    <row r="272" spans="1:71" s="300" customFormat="1" ht="15">
      <c r="A272" s="111" t="s">
        <v>723</v>
      </c>
      <c r="B272" s="233"/>
      <c r="C272" s="989"/>
      <c r="D272" s="989"/>
      <c r="E272" s="989"/>
      <c r="F272" s="989"/>
      <c r="G272" s="989"/>
      <c r="H272" s="92"/>
      <c r="I272" s="92"/>
      <c r="J272" s="92"/>
      <c r="K272" s="92"/>
      <c r="L272" s="989"/>
      <c r="M272" s="92"/>
      <c r="N272" s="92"/>
      <c r="O272" s="92"/>
      <c r="P272" s="92"/>
      <c r="Q272" s="989"/>
      <c r="R272" s="92"/>
      <c r="S272" s="92"/>
      <c r="T272" s="92"/>
      <c r="U272" s="92"/>
      <c r="V272" s="989"/>
      <c r="W272" s="92"/>
      <c r="X272" s="92"/>
      <c r="Y272" s="92"/>
      <c r="Z272" s="92"/>
      <c r="AA272" s="989"/>
      <c r="AB272" s="92"/>
      <c r="AC272" s="92"/>
      <c r="AD272" s="92"/>
      <c r="AE272" s="92"/>
      <c r="AF272" s="989"/>
      <c r="AG272" s="92"/>
      <c r="AH272" s="92"/>
      <c r="AI272" s="92"/>
      <c r="AJ272" s="92"/>
      <c r="AK272" s="989"/>
      <c r="AL272" s="92"/>
      <c r="AM272" s="92"/>
      <c r="AN272" s="92"/>
      <c r="AO272" s="92"/>
      <c r="AP272" s="989"/>
      <c r="AQ272" s="897">
        <v>80</v>
      </c>
      <c r="AR272" s="897">
        <v>83</v>
      </c>
      <c r="AS272" s="897">
        <v>85</v>
      </c>
      <c r="AT272" s="305">
        <f>AU272-SUM(AQ272,AR272,AS272)</f>
        <v>111</v>
      </c>
      <c r="AU272" s="988">
        <v>359</v>
      </c>
      <c r="AV272" s="897">
        <v>95</v>
      </c>
      <c r="AW272" s="897">
        <v>92</v>
      </c>
      <c r="AX272" s="897">
        <v>90</v>
      </c>
      <c r="AY272" s="305">
        <f>AZ272-SUM(AV272,AW272,AX272)</f>
        <v>125</v>
      </c>
      <c r="AZ272" s="988">
        <v>402</v>
      </c>
      <c r="BA272" s="897">
        <v>101</v>
      </c>
      <c r="BB272" s="897">
        <v>101</v>
      </c>
      <c r="BC272" s="897">
        <v>104</v>
      </c>
      <c r="BD272" s="305">
        <f>BE272-SUM(BA272,BB272,BC272)</f>
        <v>141</v>
      </c>
      <c r="BE272" s="988">
        <v>447</v>
      </c>
      <c r="BF272" s="897">
        <v>134</v>
      </c>
      <c r="BG272" s="897">
        <v>121</v>
      </c>
      <c r="BH272" s="898">
        <v>123</v>
      </c>
      <c r="BI272" s="897">
        <v>120</v>
      </c>
      <c r="BJ272" s="989">
        <f>SUM(BF272,BG272,BH272,BI272)</f>
        <v>498</v>
      </c>
      <c r="BK272" s="897">
        <v>80</v>
      </c>
      <c r="BL272" s="897">
        <v>80</v>
      </c>
      <c r="BM272" s="897">
        <v>80</v>
      </c>
      <c r="BN272" s="897">
        <v>80</v>
      </c>
      <c r="BO272" s="989">
        <f>SUM(BK272,BL272,BM272,BN272)</f>
        <v>320</v>
      </c>
      <c r="BP272" s="988">
        <v>320</v>
      </c>
      <c r="BQ272" s="988">
        <v>320</v>
      </c>
      <c r="BR272" s="988">
        <v>320</v>
      </c>
      <c r="BS272" s="305"/>
    </row>
    <row r="273" spans="1:71" s="300" customFormat="1" ht="15">
      <c r="A273" s="112" t="s">
        <v>724</v>
      </c>
      <c r="B273" s="113"/>
      <c r="C273" s="995"/>
      <c r="D273" s="995"/>
      <c r="E273" s="995"/>
      <c r="F273" s="995"/>
      <c r="G273" s="995"/>
      <c r="H273" s="115"/>
      <c r="I273" s="115"/>
      <c r="J273" s="115"/>
      <c r="K273" s="115"/>
      <c r="L273" s="995"/>
      <c r="M273" s="115"/>
      <c r="N273" s="115"/>
      <c r="O273" s="115"/>
      <c r="P273" s="115"/>
      <c r="Q273" s="990">
        <v>1</v>
      </c>
      <c r="R273" s="900">
        <v>-5</v>
      </c>
      <c r="S273" s="900">
        <v>0</v>
      </c>
      <c r="T273" s="900">
        <v>-1</v>
      </c>
      <c r="U273" s="115">
        <f>V273-SUM(R273,S273,T273)</f>
        <v>1</v>
      </c>
      <c r="V273" s="990">
        <v>-5</v>
      </c>
      <c r="W273" s="900">
        <v>0</v>
      </c>
      <c r="X273" s="900">
        <v>0</v>
      </c>
      <c r="Y273" s="900">
        <v>1</v>
      </c>
      <c r="Z273" s="115">
        <f>AA273-SUM(W273,X273,Y273)</f>
        <v>0</v>
      </c>
      <c r="AA273" s="990">
        <v>1</v>
      </c>
      <c r="AB273" s="900">
        <v>-2</v>
      </c>
      <c r="AC273" s="900">
        <v>0</v>
      </c>
      <c r="AD273" s="900">
        <v>2</v>
      </c>
      <c r="AE273" s="115">
        <f>AF273-SUM(AB273,AC273,AD273)</f>
        <v>-9</v>
      </c>
      <c r="AF273" s="990">
        <v>-9</v>
      </c>
      <c r="AG273" s="900">
        <v>4</v>
      </c>
      <c r="AH273" s="900">
        <v>2</v>
      </c>
      <c r="AI273" s="900">
        <v>2</v>
      </c>
      <c r="AJ273" s="115">
        <f>AK273-SUM(AG273,AH273,AI273)</f>
        <v>4</v>
      </c>
      <c r="AK273" s="990">
        <v>12</v>
      </c>
      <c r="AL273" s="900">
        <v>-14</v>
      </c>
      <c r="AM273" s="900">
        <v>11</v>
      </c>
      <c r="AN273" s="900">
        <v>3</v>
      </c>
      <c r="AO273" s="115">
        <f>AP273-SUM(AL273,AM273,AN273)</f>
        <v>8</v>
      </c>
      <c r="AP273" s="990">
        <v>8</v>
      </c>
      <c r="AQ273" s="900">
        <v>2</v>
      </c>
      <c r="AR273" s="900">
        <v>4</v>
      </c>
      <c r="AS273" s="900">
        <v>-1</v>
      </c>
      <c r="AT273" s="115">
        <f>AU273-SUM(AQ273,AR273,AS273)</f>
        <v>2</v>
      </c>
      <c r="AU273" s="990">
        <v>7</v>
      </c>
      <c r="AV273" s="900">
        <v>-7</v>
      </c>
      <c r="AW273" s="900">
        <v>-12</v>
      </c>
      <c r="AX273" s="900">
        <v>-6</v>
      </c>
      <c r="AY273" s="115">
        <f>AZ273-SUM(AV273,AW273,AX273)</f>
        <v>-19</v>
      </c>
      <c r="AZ273" s="990">
        <v>-44</v>
      </c>
      <c r="BA273" s="900">
        <v>2</v>
      </c>
      <c r="BB273" s="900">
        <v>1</v>
      </c>
      <c r="BC273" s="900">
        <v>-2</v>
      </c>
      <c r="BD273" s="115">
        <f>BE273-SUM(BA273,BB273,BC273)</f>
        <v>2</v>
      </c>
      <c r="BE273" s="990">
        <v>3</v>
      </c>
      <c r="BF273" s="900">
        <v>2</v>
      </c>
      <c r="BG273" s="900">
        <v>0</v>
      </c>
      <c r="BH273" s="901">
        <v>-6</v>
      </c>
      <c r="BI273" s="900">
        <v>2</v>
      </c>
      <c r="BJ273" s="995">
        <f>SUM(BF273,BG273,BH273,BI273)</f>
        <v>-2</v>
      </c>
      <c r="BK273" s="900">
        <v>2</v>
      </c>
      <c r="BL273" s="900">
        <v>2</v>
      </c>
      <c r="BM273" s="900">
        <v>2</v>
      </c>
      <c r="BN273" s="900">
        <v>2</v>
      </c>
      <c r="BO273" s="995">
        <f>SUM(BK273,BL273,BM273,BN273)</f>
        <v>8</v>
      </c>
      <c r="BP273" s="990">
        <v>8</v>
      </c>
      <c r="BQ273" s="990">
        <v>8</v>
      </c>
      <c r="BR273" s="990">
        <v>8</v>
      </c>
      <c r="BS273" s="305"/>
    </row>
    <row r="274" spans="1:71" s="51" customFormat="1" ht="15">
      <c r="A274" s="109" t="s">
        <v>725</v>
      </c>
      <c r="B274" s="391"/>
      <c r="C274" s="1000"/>
      <c r="D274" s="1000"/>
      <c r="E274" s="1000"/>
      <c r="F274" s="1000"/>
      <c r="G274" s="1000"/>
      <c r="H274" s="128"/>
      <c r="I274" s="128"/>
      <c r="J274" s="128"/>
      <c r="K274" s="128"/>
      <c r="L274" s="1000"/>
      <c r="M274" s="128"/>
      <c r="N274" s="128"/>
      <c r="O274" s="128"/>
      <c r="P274" s="128"/>
      <c r="Q274" s="1000">
        <f t="shared" si="941" ref="Q274:AQ274">SUM(Q270:Q273)</f>
        <v>993</v>
      </c>
      <c r="R274" s="128">
        <f t="shared" si="941"/>
        <v>264</v>
      </c>
      <c r="S274" s="128">
        <f t="shared" si="941"/>
        <v>269</v>
      </c>
      <c r="T274" s="128">
        <f t="shared" si="941"/>
        <v>274</v>
      </c>
      <c r="U274" s="128">
        <f t="shared" si="941"/>
        <v>270</v>
      </c>
      <c r="V274" s="1000">
        <f t="shared" si="941"/>
        <v>1077</v>
      </c>
      <c r="W274" s="128">
        <f t="shared" si="941"/>
        <v>286</v>
      </c>
      <c r="X274" s="128">
        <f t="shared" si="941"/>
        <v>288</v>
      </c>
      <c r="Y274" s="128">
        <f t="shared" si="941"/>
        <v>292</v>
      </c>
      <c r="Z274" s="128">
        <f t="shared" si="941"/>
        <v>291</v>
      </c>
      <c r="AA274" s="1000">
        <f t="shared" si="941"/>
        <v>1157</v>
      </c>
      <c r="AB274" s="128">
        <f t="shared" si="941"/>
        <v>303</v>
      </c>
      <c r="AC274" s="128">
        <f t="shared" si="941"/>
        <v>302</v>
      </c>
      <c r="AD274" s="128">
        <f t="shared" si="941"/>
        <v>306</v>
      </c>
      <c r="AE274" s="128">
        <f t="shared" si="941"/>
        <v>292</v>
      </c>
      <c r="AF274" s="1000">
        <f t="shared" si="941"/>
        <v>1203</v>
      </c>
      <c r="AG274" s="128">
        <f t="shared" si="941"/>
        <v>311</v>
      </c>
      <c r="AH274" s="128">
        <f t="shared" si="941"/>
        <v>307</v>
      </c>
      <c r="AI274" s="128">
        <f t="shared" si="941"/>
        <v>314</v>
      </c>
      <c r="AJ274" s="128">
        <f t="shared" si="941"/>
        <v>308</v>
      </c>
      <c r="AK274" s="1000">
        <f t="shared" si="941"/>
        <v>1240</v>
      </c>
      <c r="AL274" s="128">
        <f t="shared" si="941"/>
        <v>288</v>
      </c>
      <c r="AM274" s="128">
        <f t="shared" si="941"/>
        <v>294</v>
      </c>
      <c r="AN274" s="128">
        <f t="shared" si="941"/>
        <v>308</v>
      </c>
      <c r="AO274" s="128">
        <f t="shared" si="941"/>
        <v>290</v>
      </c>
      <c r="AP274" s="1000">
        <f t="shared" si="941"/>
        <v>1180</v>
      </c>
      <c r="AQ274" s="128">
        <f t="shared" si="941"/>
        <v>556</v>
      </c>
      <c r="AR274" s="128">
        <f t="shared" si="942" ref="AR274:AW274">SUM(AR270:AR273)</f>
        <v>553</v>
      </c>
      <c r="AS274" s="128">
        <f t="shared" si="942"/>
        <v>562</v>
      </c>
      <c r="AT274" s="128">
        <f t="shared" si="942"/>
        <v>590</v>
      </c>
      <c r="AU274" s="1000">
        <f t="shared" si="942"/>
        <v>2261</v>
      </c>
      <c r="AV274" s="128">
        <f t="shared" si="942"/>
        <v>573</v>
      </c>
      <c r="AW274" s="128">
        <f t="shared" si="942"/>
        <v>561</v>
      </c>
      <c r="AX274" s="128">
        <f t="shared" si="943" ref="AX274:BJ274">SUM(AX270:AX273)</f>
        <v>564</v>
      </c>
      <c r="AY274" s="128">
        <f t="shared" si="943"/>
        <v>561</v>
      </c>
      <c r="AZ274" s="1000">
        <f t="shared" si="943"/>
        <v>2259</v>
      </c>
      <c r="BA274" s="128">
        <f t="shared" si="944" ref="BA274:BI274">SUM(BA270:BA273)</f>
        <v>585</v>
      </c>
      <c r="BB274" s="128">
        <f t="shared" si="944"/>
        <v>576</v>
      </c>
      <c r="BC274" s="128">
        <f t="shared" si="944"/>
        <v>585</v>
      </c>
      <c r="BD274" s="128">
        <f t="shared" si="944"/>
        <v>632</v>
      </c>
      <c r="BE274" s="1000">
        <f t="shared" si="944"/>
        <v>2378</v>
      </c>
      <c r="BF274" s="128">
        <f>SUM(BF270:BF273)</f>
        <v>637</v>
      </c>
      <c r="BG274" s="128">
        <f>SUM(BG270:BG273)</f>
        <v>620</v>
      </c>
      <c r="BH274" s="465">
        <f>SUM(BH270:BH273)</f>
        <v>630</v>
      </c>
      <c r="BI274" s="128">
        <f t="shared" si="944"/>
        <v>616.86359377049178</v>
      </c>
      <c r="BJ274" s="1000">
        <f t="shared" si="943"/>
        <v>2503.8635937704921</v>
      </c>
      <c r="BK274" s="128">
        <f t="shared" si="945" ref="BK274:BR274">SUM(BK270:BK273)</f>
        <v>596.50988863013697</v>
      </c>
      <c r="BL274" s="128">
        <f t="shared" si="945"/>
        <v>592.94004728767118</v>
      </c>
      <c r="BM274" s="128">
        <f t="shared" si="945"/>
        <v>597.85934690410966</v>
      </c>
      <c r="BN274" s="128">
        <f t="shared" si="945"/>
        <v>591.60967979835618</v>
      </c>
      <c r="BO274" s="1000">
        <f t="shared" si="945"/>
        <v>2378.9189626202742</v>
      </c>
      <c r="BP274" s="1000">
        <f t="shared" si="945"/>
        <v>2457.799209284</v>
      </c>
      <c r="BQ274" s="1000">
        <f t="shared" si="945"/>
        <v>2520.76457955968</v>
      </c>
      <c r="BR274" s="1000">
        <f t="shared" si="945"/>
        <v>2585.600338823574</v>
      </c>
      <c r="BS274" s="57"/>
    </row>
    <row r="275" spans="1:71" s="300" customFormat="1" ht="15">
      <c r="A275" s="304" t="s">
        <v>726</v>
      </c>
      <c r="B275" s="233"/>
      <c r="C275" s="989"/>
      <c r="D275" s="989"/>
      <c r="E275" s="989"/>
      <c r="F275" s="989"/>
      <c r="G275" s="989"/>
      <c r="H275" s="92"/>
      <c r="I275" s="92"/>
      <c r="J275" s="92"/>
      <c r="K275" s="92"/>
      <c r="L275" s="989"/>
      <c r="M275" s="92"/>
      <c r="N275" s="92"/>
      <c r="O275" s="92"/>
      <c r="P275" s="92"/>
      <c r="Q275" s="988">
        <v>-452</v>
      </c>
      <c r="R275" s="897">
        <v>-128</v>
      </c>
      <c r="S275" s="897">
        <v>-121</v>
      </c>
      <c r="T275" s="897">
        <v>-131</v>
      </c>
      <c r="U275" s="305">
        <f>V275-SUM(R275,S275,T275)</f>
        <v>-129</v>
      </c>
      <c r="V275" s="988">
        <v>-509</v>
      </c>
      <c r="W275" s="897">
        <v>-136</v>
      </c>
      <c r="X275" s="897">
        <v>-143</v>
      </c>
      <c r="Y275" s="897">
        <v>-142</v>
      </c>
      <c r="Z275" s="305">
        <f>AA275-SUM(W275,X275,Y275)</f>
        <v>-143</v>
      </c>
      <c r="AA275" s="988">
        <v>-564</v>
      </c>
      <c r="AB275" s="897">
        <v>-149</v>
      </c>
      <c r="AC275" s="897">
        <v>-143</v>
      </c>
      <c r="AD275" s="897">
        <v>-159</v>
      </c>
      <c r="AE275" s="305">
        <f>AF275-SUM(AB275,AC275,AD275)</f>
        <v>-144</v>
      </c>
      <c r="AF275" s="988">
        <v>-595</v>
      </c>
      <c r="AG275" s="897">
        <v>-145</v>
      </c>
      <c r="AH275" s="897">
        <v>-143</v>
      </c>
      <c r="AI275" s="897">
        <v>-161</v>
      </c>
      <c r="AJ275" s="305">
        <f>AK275-SUM(AG275,AH275,AI275)</f>
        <v>-152</v>
      </c>
      <c r="AK275" s="988">
        <v>-601</v>
      </c>
      <c r="AL275" s="897">
        <v>-141</v>
      </c>
      <c r="AM275" s="897">
        <v>-123</v>
      </c>
      <c r="AN275" s="897">
        <v>-128</v>
      </c>
      <c r="AO275" s="305">
        <f>AP275-SUM(AL275,AM275,AN275)</f>
        <v>-124</v>
      </c>
      <c r="AP275" s="988">
        <v>-516</v>
      </c>
      <c r="AQ275" s="897">
        <v>-233</v>
      </c>
      <c r="AR275" s="897">
        <v>-244</v>
      </c>
      <c r="AS275" s="897">
        <v>-269</v>
      </c>
      <c r="AT275" s="305">
        <f>AU275-SUM(AQ275,AR275,AS275)</f>
        <v>-269</v>
      </c>
      <c r="AU275" s="988">
        <v>-1015</v>
      </c>
      <c r="AV275" s="897">
        <v>-268</v>
      </c>
      <c r="AW275" s="897">
        <v>-265</v>
      </c>
      <c r="AX275" s="897">
        <v>-252</v>
      </c>
      <c r="AY275" s="305">
        <f>AZ275-SUM(AV275,AW275,AX275)</f>
        <v>-257</v>
      </c>
      <c r="AZ275" s="988">
        <v>-1042</v>
      </c>
      <c r="BA275" s="897">
        <v>-265</v>
      </c>
      <c r="BB275" s="897">
        <v>-258</v>
      </c>
      <c r="BC275" s="897">
        <v>-262</v>
      </c>
      <c r="BD275" s="92">
        <f>BE275-SUM(BA275,BB275,BC275)</f>
        <v>-286</v>
      </c>
      <c r="BE275" s="988">
        <v>-1071</v>
      </c>
      <c r="BF275" s="897">
        <v>-296</v>
      </c>
      <c r="BG275" s="897">
        <v>-291</v>
      </c>
      <c r="BH275" s="898">
        <v>-317</v>
      </c>
      <c r="BI275" s="92">
        <f>-BI270*BI285</f>
        <v>-240.505</v>
      </c>
      <c r="BJ275" s="989">
        <f>SUM(BF275,BG275,BH275,BI275)</f>
        <v>-1144.5050000000001</v>
      </c>
      <c r="BK275" s="92">
        <f>-BK270*BK285</f>
        <v>-246.17000000000002</v>
      </c>
      <c r="BL275" s="92">
        <f>-BL270*BL285</f>
        <v>-244.11</v>
      </c>
      <c r="BM275" s="92">
        <f>-BM270*BM285</f>
        <v>-250.805</v>
      </c>
      <c r="BN275" s="92">
        <f>-BN270*BN285</f>
        <v>-247.72014999999999</v>
      </c>
      <c r="BO275" s="989">
        <f>SUM(BK275,BL275,BM275,BN275)</f>
        <v>-988.80515000000003</v>
      </c>
      <c r="BP275" s="989">
        <f>-BP270*BP285</f>
        <v>-1018.4693045</v>
      </c>
      <c r="BQ275" s="989">
        <f>-BQ270*BQ285</f>
        <v>-1049.0233836350001</v>
      </c>
      <c r="BR275" s="989">
        <f>-BR270*BR285</f>
        <v>-1080.4940851440501</v>
      </c>
      <c r="BS275" s="305"/>
    </row>
    <row r="276" spans="1:71" s="300" customFormat="1" ht="15">
      <c r="A276" s="111" t="s">
        <v>727</v>
      </c>
      <c r="B276" s="233"/>
      <c r="C276" s="989"/>
      <c r="D276" s="989"/>
      <c r="E276" s="989"/>
      <c r="F276" s="989"/>
      <c r="G276" s="989"/>
      <c r="H276" s="92"/>
      <c r="I276" s="92"/>
      <c r="J276" s="92"/>
      <c r="K276" s="92"/>
      <c r="L276" s="989"/>
      <c r="M276" s="92"/>
      <c r="N276" s="92"/>
      <c r="O276" s="92"/>
      <c r="P276" s="92"/>
      <c r="Q276" s="988">
        <v>-36</v>
      </c>
      <c r="R276" s="897">
        <v>-9</v>
      </c>
      <c r="S276" s="897">
        <v>-10</v>
      </c>
      <c r="T276" s="897">
        <v>-9</v>
      </c>
      <c r="U276" s="92">
        <f>V276-SUM(R276,S276,T276)</f>
        <v>-8</v>
      </c>
      <c r="V276" s="988">
        <v>-36</v>
      </c>
      <c r="W276" s="897">
        <v>-9</v>
      </c>
      <c r="X276" s="897">
        <v>-9</v>
      </c>
      <c r="Y276" s="897">
        <v>-8</v>
      </c>
      <c r="Z276" s="92">
        <f>AA276-SUM(W276,X276,Y276)</f>
        <v>-9</v>
      </c>
      <c r="AA276" s="988">
        <v>-35</v>
      </c>
      <c r="AB276" s="897">
        <v>-8</v>
      </c>
      <c r="AC276" s="897">
        <v>-9</v>
      </c>
      <c r="AD276" s="897">
        <v>-8</v>
      </c>
      <c r="AE276" s="92">
        <f>AF276-SUM(AB276,AC276,AD276)</f>
        <v>-10</v>
      </c>
      <c r="AF276" s="988">
        <v>-35</v>
      </c>
      <c r="AG276" s="897">
        <v>-9</v>
      </c>
      <c r="AH276" s="897">
        <v>-8</v>
      </c>
      <c r="AI276" s="897">
        <v>-9</v>
      </c>
      <c r="AJ276" s="92">
        <f>AK276-SUM(AG276,AH276,AI276)</f>
        <v>-8</v>
      </c>
      <c r="AK276" s="988">
        <v>-34</v>
      </c>
      <c r="AL276" s="897">
        <v>-9</v>
      </c>
      <c r="AM276" s="897">
        <v>-9</v>
      </c>
      <c r="AN276" s="897">
        <v>-8</v>
      </c>
      <c r="AO276" s="92">
        <f>AP276-SUM(AL276,AM276,AN276)</f>
        <v>-7</v>
      </c>
      <c r="AP276" s="988">
        <v>-33</v>
      </c>
      <c r="AQ276" s="897">
        <v>-9</v>
      </c>
      <c r="AR276" s="897">
        <v>-8</v>
      </c>
      <c r="AS276" s="897">
        <v>-8</v>
      </c>
      <c r="AT276" s="92">
        <f>AU276-SUM(AQ276,AR276,AS276)</f>
        <v>-9</v>
      </c>
      <c r="AU276" s="988">
        <v>-34</v>
      </c>
      <c r="AV276" s="92"/>
      <c r="AW276" s="92"/>
      <c r="AX276" s="92"/>
      <c r="AY276" s="92">
        <f>AZ276-SUM(AV276,AW276,AX276)</f>
        <v>0</v>
      </c>
      <c r="AZ276" s="989"/>
      <c r="BA276" s="92"/>
      <c r="BB276" s="92"/>
      <c r="BC276" s="92"/>
      <c r="BD276" s="92">
        <f>BE276-SUM(BA276,BB276,BC276)</f>
        <v>0</v>
      </c>
      <c r="BE276" s="989"/>
      <c r="BF276" s="92"/>
      <c r="BG276" s="92"/>
      <c r="BH276" s="464"/>
      <c r="BI276" s="897">
        <v>-9</v>
      </c>
      <c r="BJ276" s="989">
        <f>SUM(BF276,BG276,BH276,BI276)</f>
        <v>-9</v>
      </c>
      <c r="BK276" s="897">
        <v>-9</v>
      </c>
      <c r="BL276" s="897">
        <v>-9</v>
      </c>
      <c r="BM276" s="897">
        <v>-9</v>
      </c>
      <c r="BN276" s="897">
        <v>-9</v>
      </c>
      <c r="BO276" s="989">
        <f>SUM(BK276,BL276,BM276,BN276)</f>
        <v>-36</v>
      </c>
      <c r="BP276" s="988">
        <v>-36</v>
      </c>
      <c r="BQ276" s="988">
        <v>-36</v>
      </c>
      <c r="BR276" s="988">
        <v>-36</v>
      </c>
      <c r="BS276" s="305"/>
    </row>
    <row r="277" spans="1:71" s="300" customFormat="1" ht="15">
      <c r="A277" s="111" t="s">
        <v>728</v>
      </c>
      <c r="B277" s="233"/>
      <c r="C277" s="989"/>
      <c r="D277" s="989"/>
      <c r="E277" s="989"/>
      <c r="F277" s="989"/>
      <c r="G277" s="989"/>
      <c r="H277" s="92"/>
      <c r="I277" s="92"/>
      <c r="J277" s="92"/>
      <c r="K277" s="92"/>
      <c r="L277" s="989"/>
      <c r="M277" s="92"/>
      <c r="N277" s="92"/>
      <c r="O277" s="92"/>
      <c r="P277" s="92"/>
      <c r="Q277" s="988">
        <v>-124</v>
      </c>
      <c r="R277" s="897">
        <v>-38</v>
      </c>
      <c r="S277" s="897">
        <v>-34</v>
      </c>
      <c r="T277" s="897">
        <v>-37</v>
      </c>
      <c r="U277" s="92">
        <f>V277-SUM(R277,S277,T277)</f>
        <v>-36</v>
      </c>
      <c r="V277" s="988">
        <v>-145</v>
      </c>
      <c r="W277" s="897">
        <v>-41</v>
      </c>
      <c r="X277" s="897">
        <v>-33</v>
      </c>
      <c r="Y277" s="897">
        <v>-31</v>
      </c>
      <c r="Z277" s="92">
        <f>AA277-SUM(W277,X277,Y277)</f>
        <v>-37</v>
      </c>
      <c r="AA277" s="988">
        <v>-142</v>
      </c>
      <c r="AB277" s="897">
        <v>-41</v>
      </c>
      <c r="AC277" s="897">
        <v>-36</v>
      </c>
      <c r="AD277" s="897">
        <v>-26</v>
      </c>
      <c r="AE277" s="92">
        <f>AF277-SUM(AB277,AC277,AD277)</f>
        <v>-42</v>
      </c>
      <c r="AF277" s="988">
        <v>-145</v>
      </c>
      <c r="AG277" s="897">
        <v>-43</v>
      </c>
      <c r="AH277" s="897">
        <v>-35</v>
      </c>
      <c r="AI277" s="897">
        <v>-33</v>
      </c>
      <c r="AJ277" s="92">
        <f>AK277-SUM(AG277,AH277,AI277)</f>
        <v>-50</v>
      </c>
      <c r="AK277" s="988">
        <v>-161</v>
      </c>
      <c r="AL277" s="897">
        <v>-45</v>
      </c>
      <c r="AM277" s="897">
        <v>-35</v>
      </c>
      <c r="AN277" s="897">
        <v>-59</v>
      </c>
      <c r="AO277" s="92">
        <f>AP277-SUM(AL277,AM277,AN277)</f>
        <v>-38</v>
      </c>
      <c r="AP277" s="988">
        <v>-177</v>
      </c>
      <c r="AQ277" s="897">
        <v>-39</v>
      </c>
      <c r="AR277" s="897">
        <v>-32</v>
      </c>
      <c r="AS277" s="897">
        <v>-30</v>
      </c>
      <c r="AT277" s="92">
        <f>AU277-SUM(AQ277,AR277,AS277)</f>
        <v>-43</v>
      </c>
      <c r="AU277" s="988">
        <v>-144</v>
      </c>
      <c r="AV277" s="897">
        <v>-39</v>
      </c>
      <c r="AW277" s="897">
        <v>-35</v>
      </c>
      <c r="AX277" s="897">
        <v>-33</v>
      </c>
      <c r="AY277" s="92">
        <f>AZ277-SUM(AV277,AW277,AX277)</f>
        <v>-29</v>
      </c>
      <c r="AZ277" s="988">
        <v>-136</v>
      </c>
      <c r="BA277" s="897">
        <v>-41</v>
      </c>
      <c r="BB277" s="897">
        <v>-34</v>
      </c>
      <c r="BC277" s="897">
        <v>-39</v>
      </c>
      <c r="BD277" s="92">
        <f>BE277-SUM(BA277,BB277,BC277)</f>
        <v>-36</v>
      </c>
      <c r="BE277" s="988">
        <v>-150</v>
      </c>
      <c r="BF277" s="897">
        <v>-42</v>
      </c>
      <c r="BG277" s="897">
        <v>-32</v>
      </c>
      <c r="BH277" s="898">
        <v>-37</v>
      </c>
      <c r="BI277" s="897">
        <v>-40</v>
      </c>
      <c r="BJ277" s="989">
        <f>SUM(BF277,BG277,BH277,BI277)</f>
        <v>-151</v>
      </c>
      <c r="BK277" s="897">
        <v>-40</v>
      </c>
      <c r="BL277" s="897">
        <v>-40</v>
      </c>
      <c r="BM277" s="897">
        <v>-40</v>
      </c>
      <c r="BN277" s="897">
        <v>-40</v>
      </c>
      <c r="BO277" s="989">
        <f>SUM(BK277,BL277,BM277,BN277)</f>
        <v>-160</v>
      </c>
      <c r="BP277" s="988">
        <v>-160</v>
      </c>
      <c r="BQ277" s="988">
        <v>-160</v>
      </c>
      <c r="BR277" s="988">
        <v>-160</v>
      </c>
      <c r="BS277" s="305"/>
    </row>
    <row r="278" spans="1:71" s="300" customFormat="1" ht="15">
      <c r="A278" s="304" t="s">
        <v>729</v>
      </c>
      <c r="B278" s="233"/>
      <c r="C278" s="989"/>
      <c r="D278" s="989"/>
      <c r="E278" s="989"/>
      <c r="F278" s="989"/>
      <c r="G278" s="989"/>
      <c r="H278" s="92"/>
      <c r="I278" s="92"/>
      <c r="J278" s="92"/>
      <c r="K278" s="92"/>
      <c r="L278" s="989"/>
      <c r="M278" s="92"/>
      <c r="N278" s="92"/>
      <c r="O278" s="92"/>
      <c r="P278" s="92"/>
      <c r="Q278" s="988">
        <v>-222</v>
      </c>
      <c r="R278" s="897">
        <v>-59</v>
      </c>
      <c r="S278" s="897">
        <v>-60</v>
      </c>
      <c r="T278" s="897">
        <v>-59</v>
      </c>
      <c r="U278" s="305">
        <f>V278-SUM(R278,S278,T278)</f>
        <v>-62</v>
      </c>
      <c r="V278" s="988">
        <v>-240</v>
      </c>
      <c r="W278" s="897">
        <v>-67</v>
      </c>
      <c r="X278" s="897">
        <v>-64</v>
      </c>
      <c r="Y278" s="897">
        <v>-65</v>
      </c>
      <c r="Z278" s="305">
        <f>AA278-SUM(W278,X278,Y278)</f>
        <v>-70</v>
      </c>
      <c r="AA278" s="988">
        <v>-266</v>
      </c>
      <c r="AB278" s="897">
        <v>-70</v>
      </c>
      <c r="AC278" s="897">
        <v>-69</v>
      </c>
      <c r="AD278" s="897">
        <v>-68</v>
      </c>
      <c r="AE278" s="305">
        <f>AF278-SUM(AB278,AC278,AD278)</f>
        <v>-71</v>
      </c>
      <c r="AF278" s="988">
        <v>-278</v>
      </c>
      <c r="AG278" s="897">
        <v>-71</v>
      </c>
      <c r="AH278" s="897">
        <v>-71</v>
      </c>
      <c r="AI278" s="897">
        <v>-69</v>
      </c>
      <c r="AJ278" s="305">
        <f>AK278-SUM(AG278,AH278,AI278)</f>
        <v>-74</v>
      </c>
      <c r="AK278" s="988">
        <v>-285</v>
      </c>
      <c r="AL278" s="897">
        <v>-75</v>
      </c>
      <c r="AM278" s="897">
        <v>-110</v>
      </c>
      <c r="AN278" s="897">
        <v>-68</v>
      </c>
      <c r="AO278" s="305">
        <f>AP278-SUM(AL278,AM278,AN278)</f>
        <v>-69</v>
      </c>
      <c r="AP278" s="988">
        <v>-322</v>
      </c>
      <c r="AQ278" s="897">
        <v>-190</v>
      </c>
      <c r="AR278" s="897">
        <v>-186</v>
      </c>
      <c r="AS278" s="897">
        <v>-206</v>
      </c>
      <c r="AT278" s="305">
        <f>AU278-SUM(AQ278,AR278,AS278)</f>
        <v>-205</v>
      </c>
      <c r="AU278" s="988">
        <v>-787</v>
      </c>
      <c r="AV278" s="897">
        <v>-202</v>
      </c>
      <c r="AW278" s="897">
        <v>-185</v>
      </c>
      <c r="AX278" s="897">
        <v>-207</v>
      </c>
      <c r="AY278" s="305">
        <f>AZ278-SUM(AV278,AW278,AX278)</f>
        <v>-220</v>
      </c>
      <c r="AZ278" s="988">
        <v>-814</v>
      </c>
      <c r="BA278" s="897">
        <v>-203</v>
      </c>
      <c r="BB278" s="897">
        <v>-210</v>
      </c>
      <c r="BC278" s="897">
        <v>-197</v>
      </c>
      <c r="BD278" s="92">
        <f>BE278-SUM(BA278,BB278,BC278)</f>
        <v>-232</v>
      </c>
      <c r="BE278" s="988">
        <v>-842</v>
      </c>
      <c r="BF278" s="897">
        <v>-225</v>
      </c>
      <c r="BG278" s="897">
        <v>-224</v>
      </c>
      <c r="BH278" s="898">
        <v>-232</v>
      </c>
      <c r="BI278" s="92">
        <f>-BI286*BI270</f>
        <v>-192.404</v>
      </c>
      <c r="BJ278" s="989">
        <f>SUM(BF278,BG278,BH278,BI278)</f>
        <v>-873.404</v>
      </c>
      <c r="BK278" s="92">
        <f>-BK286*BK270</f>
        <v>-196.93600000000004</v>
      </c>
      <c r="BL278" s="92">
        <f>-BL286*BL270</f>
        <v>-195.28800000000001</v>
      </c>
      <c r="BM278" s="92">
        <f>-BM286*BM270</f>
        <v>-200.64400000000001</v>
      </c>
      <c r="BN278" s="92">
        <f>-BN286*BN270</f>
        <v>-198.17612</v>
      </c>
      <c r="BO278" s="989">
        <f>SUM(BK278,BL278,BM278,BN278)</f>
        <v>-791.04412000000002</v>
      </c>
      <c r="BP278" s="989">
        <f>-BP286*BP270</f>
        <v>-814.77544360000002</v>
      </c>
      <c r="BQ278" s="989">
        <f>-BQ286*BQ270</f>
        <v>-839.21870690800006</v>
      </c>
      <c r="BR278" s="989">
        <f>-BR286*BR270</f>
        <v>-864.39526811524013</v>
      </c>
      <c r="BS278" s="305"/>
    </row>
    <row r="279" spans="1:71" s="300" customFormat="1" ht="15">
      <c r="A279" s="110" t="s">
        <v>730</v>
      </c>
      <c r="B279" s="113"/>
      <c r="C279" s="995"/>
      <c r="D279" s="995"/>
      <c r="E279" s="995"/>
      <c r="F279" s="995"/>
      <c r="G279" s="995"/>
      <c r="H279" s="115"/>
      <c r="I279" s="115"/>
      <c r="J279" s="115"/>
      <c r="K279" s="115"/>
      <c r="L279" s="995"/>
      <c r="M279" s="115"/>
      <c r="N279" s="115"/>
      <c r="O279" s="115"/>
      <c r="P279" s="115"/>
      <c r="Q279" s="990">
        <v>0</v>
      </c>
      <c r="R279" s="900">
        <v>0</v>
      </c>
      <c r="S279" s="900">
        <v>0</v>
      </c>
      <c r="T279" s="900">
        <v>0</v>
      </c>
      <c r="U279" s="58">
        <f>V279-SUM(R279,S279,T279)</f>
        <v>0</v>
      </c>
      <c r="V279" s="990">
        <v>0</v>
      </c>
      <c r="W279" s="900">
        <v>0</v>
      </c>
      <c r="X279" s="900">
        <v>0</v>
      </c>
      <c r="Y279" s="900">
        <v>-1</v>
      </c>
      <c r="Z279" s="58">
        <f>AA279-SUM(W279,X279,Y279)</f>
        <v>-2</v>
      </c>
      <c r="AA279" s="990">
        <v>-3</v>
      </c>
      <c r="AB279" s="115"/>
      <c r="AC279" s="115"/>
      <c r="AD279" s="115"/>
      <c r="AE279" s="58">
        <f>AF279-SUM(AB279,AC279,AD279)</f>
        <v>0</v>
      </c>
      <c r="AF279" s="995"/>
      <c r="AG279" s="115"/>
      <c r="AH279" s="115"/>
      <c r="AI279" s="115"/>
      <c r="AJ279" s="58">
        <f>AK279-SUM(AG279,AH279,AI279)</f>
        <v>0</v>
      </c>
      <c r="AK279" s="990">
        <v>0</v>
      </c>
      <c r="AL279" s="115"/>
      <c r="AM279" s="900">
        <v>-1</v>
      </c>
      <c r="AN279" s="115"/>
      <c r="AO279" s="58">
        <f>AP279-SUM(AL279,AM279,AN279)</f>
        <v>0</v>
      </c>
      <c r="AP279" s="990">
        <v>-1</v>
      </c>
      <c r="AQ279" s="115"/>
      <c r="AR279" s="900">
        <v>-1</v>
      </c>
      <c r="AS279" s="900">
        <v>-8</v>
      </c>
      <c r="AT279" s="58">
        <f>AU279-SUM(AQ279,AR279,AS279)</f>
        <v>0</v>
      </c>
      <c r="AU279" s="990">
        <v>-9</v>
      </c>
      <c r="AV279" s="115"/>
      <c r="AW279" s="900">
        <v>-2</v>
      </c>
      <c r="AX279" s="900">
        <v>1</v>
      </c>
      <c r="AY279" s="58">
        <f>AZ279-SUM(AV279,AW279,AX279)</f>
        <v>-1</v>
      </c>
      <c r="AZ279" s="990">
        <v>-2</v>
      </c>
      <c r="BA279" s="900">
        <v>-4</v>
      </c>
      <c r="BB279" s="900">
        <v>0</v>
      </c>
      <c r="BC279" s="900">
        <v>-2</v>
      </c>
      <c r="BD279" s="115">
        <f>BE279-SUM(BA279,BB279,BC279)</f>
        <v>-1</v>
      </c>
      <c r="BE279" s="990">
        <v>-7</v>
      </c>
      <c r="BF279" s="900">
        <v>-1</v>
      </c>
      <c r="BG279" s="115"/>
      <c r="BH279" s="901">
        <v>-2</v>
      </c>
      <c r="BI279" s="115"/>
      <c r="BJ279" s="995">
        <f>SUM(BF279,BG279,BH279,BI279)</f>
        <v>-3</v>
      </c>
      <c r="BK279" s="115"/>
      <c r="BL279" s="115"/>
      <c r="BM279" s="115"/>
      <c r="BN279" s="115"/>
      <c r="BO279" s="995">
        <f>SUM(BK279,BL279,BM279,BN279)</f>
        <v>0</v>
      </c>
      <c r="BP279" s="995"/>
      <c r="BQ279" s="995"/>
      <c r="BR279" s="995"/>
      <c r="BS279" s="305"/>
    </row>
    <row r="280" spans="1:71" s="51" customFormat="1" ht="15">
      <c r="A280" s="109" t="s">
        <v>731</v>
      </c>
      <c r="B280" s="391"/>
      <c r="C280" s="1000"/>
      <c r="D280" s="1000"/>
      <c r="E280" s="1000"/>
      <c r="F280" s="1000"/>
      <c r="G280" s="1000"/>
      <c r="H280" s="128"/>
      <c r="I280" s="128"/>
      <c r="J280" s="128"/>
      <c r="K280" s="128"/>
      <c r="L280" s="1000"/>
      <c r="M280" s="128"/>
      <c r="N280" s="128"/>
      <c r="O280" s="128"/>
      <c r="P280" s="128"/>
      <c r="Q280" s="999">
        <f t="shared" si="946" ref="Q280:AP280">Q274+SUM(Q275:Q279)-Q273</f>
        <v>158</v>
      </c>
      <c r="R280" s="57">
        <f t="shared" si="946"/>
        <v>35</v>
      </c>
      <c r="S280" s="57">
        <f t="shared" si="946"/>
        <v>44</v>
      </c>
      <c r="T280" s="57">
        <f t="shared" si="946"/>
        <v>39</v>
      </c>
      <c r="U280" s="57">
        <f t="shared" si="946"/>
        <v>34</v>
      </c>
      <c r="V280" s="999">
        <f t="shared" si="946"/>
        <v>152</v>
      </c>
      <c r="W280" s="57">
        <f t="shared" si="946"/>
        <v>33</v>
      </c>
      <c r="X280" s="57">
        <f t="shared" si="946"/>
        <v>39</v>
      </c>
      <c r="Y280" s="57">
        <f t="shared" si="946"/>
        <v>44</v>
      </c>
      <c r="Z280" s="57">
        <f t="shared" si="946"/>
        <v>30</v>
      </c>
      <c r="AA280" s="999">
        <f t="shared" si="946"/>
        <v>146</v>
      </c>
      <c r="AB280" s="57">
        <f t="shared" si="946"/>
        <v>37</v>
      </c>
      <c r="AC280" s="57">
        <f t="shared" si="946"/>
        <v>45</v>
      </c>
      <c r="AD280" s="57">
        <f t="shared" si="946"/>
        <v>43</v>
      </c>
      <c r="AE280" s="57">
        <f t="shared" si="946"/>
        <v>34</v>
      </c>
      <c r="AF280" s="999">
        <f t="shared" si="946"/>
        <v>159</v>
      </c>
      <c r="AG280" s="57">
        <f t="shared" si="946"/>
        <v>39</v>
      </c>
      <c r="AH280" s="57">
        <f t="shared" si="946"/>
        <v>48</v>
      </c>
      <c r="AI280" s="57">
        <f t="shared" si="946"/>
        <v>40</v>
      </c>
      <c r="AJ280" s="57">
        <f t="shared" si="946"/>
        <v>20</v>
      </c>
      <c r="AK280" s="999">
        <f t="shared" si="946"/>
        <v>147</v>
      </c>
      <c r="AL280" s="57">
        <f t="shared" si="946"/>
        <v>32</v>
      </c>
      <c r="AM280" s="57">
        <f t="shared" si="946"/>
        <v>5</v>
      </c>
      <c r="AN280" s="57">
        <f t="shared" si="946"/>
        <v>42</v>
      </c>
      <c r="AO280" s="57">
        <f t="shared" si="946"/>
        <v>44</v>
      </c>
      <c r="AP280" s="999">
        <f t="shared" si="946"/>
        <v>123</v>
      </c>
      <c r="AQ280" s="57">
        <f>AQ274+SUM(AQ275:AQ279)-AQ273</f>
        <v>83</v>
      </c>
      <c r="AR280" s="57">
        <f t="shared" si="947" ref="AR280:AV280">AR274+SUM(AR275:AR279)-AR273</f>
        <v>78</v>
      </c>
      <c r="AS280" s="57">
        <f t="shared" si="947"/>
        <v>42</v>
      </c>
      <c r="AT280" s="57">
        <f t="shared" si="947"/>
        <v>62</v>
      </c>
      <c r="AU280" s="999">
        <f>AU274+SUM(AU275:AU279)-AU273</f>
        <v>265</v>
      </c>
      <c r="AV280" s="57">
        <f t="shared" si="947"/>
        <v>71</v>
      </c>
      <c r="AW280" s="57">
        <f t="shared" si="948" ref="AW280:AZ280">AW274+SUM(AW275:AW279)-AW273</f>
        <v>86</v>
      </c>
      <c r="AX280" s="57">
        <f t="shared" si="948"/>
        <v>79</v>
      </c>
      <c r="AY280" s="57">
        <f t="shared" si="948"/>
        <v>73</v>
      </c>
      <c r="AZ280" s="999">
        <f t="shared" si="948"/>
        <v>309</v>
      </c>
      <c r="BA280" s="57">
        <f t="shared" si="949" ref="BA280:BR280">BA274+SUM(BA275:BA279)-BA273</f>
        <v>70</v>
      </c>
      <c r="BB280" s="57">
        <f t="shared" si="949"/>
        <v>73</v>
      </c>
      <c r="BC280" s="57">
        <f t="shared" si="949"/>
        <v>87</v>
      </c>
      <c r="BD280" s="128">
        <f t="shared" si="949"/>
        <v>75</v>
      </c>
      <c r="BE280" s="1000">
        <f t="shared" si="949"/>
        <v>305</v>
      </c>
      <c r="BF280" s="57">
        <f>BF274+SUM(BF275:BF279)-BF273</f>
        <v>71</v>
      </c>
      <c r="BG280" s="57">
        <f>BG274+SUM(BG275:BG279)-BG273</f>
        <v>73</v>
      </c>
      <c r="BH280" s="745">
        <f>BH274+SUM(BH275:BH279)-BH273</f>
        <v>48</v>
      </c>
      <c r="BI280" s="128">
        <f t="shared" si="949"/>
        <v>132.95459377049178</v>
      </c>
      <c r="BJ280" s="1000">
        <f t="shared" si="949"/>
        <v>324.95459377049201</v>
      </c>
      <c r="BK280" s="128">
        <f t="shared" si="949"/>
        <v>102.40388863013692</v>
      </c>
      <c r="BL280" s="128">
        <f t="shared" si="949"/>
        <v>102.54204728767115</v>
      </c>
      <c r="BM280" s="128">
        <f t="shared" si="949"/>
        <v>95.410346904109645</v>
      </c>
      <c r="BN280" s="128">
        <f t="shared" si="949"/>
        <v>94.713409798356224</v>
      </c>
      <c r="BO280" s="1000">
        <f t="shared" si="949"/>
        <v>395.06969262027405</v>
      </c>
      <c r="BP280" s="1000">
        <f t="shared" si="949"/>
        <v>420.55446118400005</v>
      </c>
      <c r="BQ280" s="1000">
        <f t="shared" si="949"/>
        <v>428.52248901668008</v>
      </c>
      <c r="BR280" s="1000">
        <f t="shared" si="949"/>
        <v>436.71098556428387</v>
      </c>
      <c r="BS280" s="57"/>
    </row>
    <row r="281" spans="1:71" s="300" customFormat="1" ht="15">
      <c r="A281" s="304" t="s">
        <v>732</v>
      </c>
      <c r="B281" s="233"/>
      <c r="C281" s="989"/>
      <c r="D281" s="989"/>
      <c r="E281" s="989"/>
      <c r="F281" s="989"/>
      <c r="G281" s="989"/>
      <c r="H281" s="92"/>
      <c r="I281" s="92"/>
      <c r="J281" s="92"/>
      <c r="K281" s="92"/>
      <c r="L281" s="989"/>
      <c r="M281" s="92"/>
      <c r="N281" s="92"/>
      <c r="O281" s="92"/>
      <c r="P281" s="92"/>
      <c r="Q281" s="988">
        <v>-55</v>
      </c>
      <c r="R281" s="897">
        <v>-10</v>
      </c>
      <c r="S281" s="897">
        <v>-15</v>
      </c>
      <c r="T281" s="897">
        <v>-13</v>
      </c>
      <c r="U281" s="305">
        <f>V281-SUM(R281,S281,T281)</f>
        <v>-13</v>
      </c>
      <c r="V281" s="988">
        <v>-51</v>
      </c>
      <c r="W281" s="897">
        <v>-11</v>
      </c>
      <c r="X281" s="897">
        <v>-14</v>
      </c>
      <c r="Y281" s="897">
        <v>-16</v>
      </c>
      <c r="Z281" s="305">
        <f>AA281-SUM(W281,X281,Y281)</f>
        <v>40</v>
      </c>
      <c r="AA281" s="988">
        <v>-1</v>
      </c>
      <c r="AB281" s="897">
        <v>-8</v>
      </c>
      <c r="AC281" s="897">
        <v>-9</v>
      </c>
      <c r="AD281" s="897">
        <v>-10</v>
      </c>
      <c r="AE281" s="305">
        <f>AF281-SUM(AB281,AC281,AD281)</f>
        <v>-5</v>
      </c>
      <c r="AF281" s="988">
        <v>-32</v>
      </c>
      <c r="AG281" s="897">
        <v>-9</v>
      </c>
      <c r="AH281" s="897">
        <v>-11</v>
      </c>
      <c r="AI281" s="897">
        <v>-9</v>
      </c>
      <c r="AJ281" s="305">
        <f>AK281-SUM(AG281,AH281,AI281)</f>
        <v>-6</v>
      </c>
      <c r="AK281" s="988">
        <v>-35</v>
      </c>
      <c r="AL281" s="897">
        <v>-4</v>
      </c>
      <c r="AM281" s="897">
        <v>-4</v>
      </c>
      <c r="AN281" s="897">
        <v>-9</v>
      </c>
      <c r="AO281" s="305">
        <f>AP281-SUM(AL281,AM281,AN281)</f>
        <v>-11</v>
      </c>
      <c r="AP281" s="988">
        <v>-28</v>
      </c>
      <c r="AQ281" s="897">
        <v>-18</v>
      </c>
      <c r="AR281" s="897">
        <v>-16</v>
      </c>
      <c r="AS281" s="897">
        <v>-9</v>
      </c>
      <c r="AT281" s="305">
        <f>AU281-SUM(AQ281,AR281,AS281)</f>
        <v>-14</v>
      </c>
      <c r="AU281" s="988">
        <v>-57</v>
      </c>
      <c r="AV281" s="897">
        <v>-14</v>
      </c>
      <c r="AW281" s="897">
        <v>-19</v>
      </c>
      <c r="AX281" s="897">
        <v>-16</v>
      </c>
      <c r="AY281" s="305">
        <f>AZ281-SUM(AV281,AW281,AX281)</f>
        <v>-15</v>
      </c>
      <c r="AZ281" s="988">
        <v>-64</v>
      </c>
      <c r="BA281" s="897">
        <v>-14</v>
      </c>
      <c r="BB281" s="897">
        <v>-16</v>
      </c>
      <c r="BC281" s="897">
        <v>-18</v>
      </c>
      <c r="BD281" s="92">
        <f>BE281-SUM(BA281,BB281,BC281)</f>
        <v>-15</v>
      </c>
      <c r="BE281" s="990">
        <v>-63</v>
      </c>
      <c r="BF281" s="897">
        <v>-15</v>
      </c>
      <c r="BG281" s="897">
        <v>-15</v>
      </c>
      <c r="BH281" s="898">
        <v>-11</v>
      </c>
      <c r="BI281" s="92"/>
      <c r="BJ281" s="989"/>
      <c r="BK281" s="92"/>
      <c r="BL281" s="92"/>
      <c r="BM281" s="92"/>
      <c r="BN281" s="92"/>
      <c r="BO281" s="989"/>
      <c r="BP281" s="989"/>
      <c r="BQ281" s="989"/>
      <c r="BR281" s="989"/>
      <c r="BS281" s="305"/>
    </row>
    <row r="282" spans="1:71" s="51" customFormat="1" ht="15">
      <c r="A282" s="87" t="s">
        <v>733</v>
      </c>
      <c r="B282" s="164"/>
      <c r="C282" s="997"/>
      <c r="D282" s="997"/>
      <c r="E282" s="997"/>
      <c r="F282" s="997"/>
      <c r="G282" s="997"/>
      <c r="H282" s="90"/>
      <c r="I282" s="90"/>
      <c r="J282" s="90"/>
      <c r="K282" s="90"/>
      <c r="L282" s="997"/>
      <c r="M282" s="90"/>
      <c r="N282" s="90"/>
      <c r="O282" s="90"/>
      <c r="P282" s="90"/>
      <c r="Q282" s="996">
        <f t="shared" si="950" ref="Q282">SUM(Q280:Q281)</f>
        <v>103</v>
      </c>
      <c r="R282" s="89">
        <f t="shared" si="951" ref="R282">SUM(R280:R281)</f>
        <v>25</v>
      </c>
      <c r="S282" s="89">
        <f t="shared" si="952" ref="S282">SUM(S280:S281)</f>
        <v>29</v>
      </c>
      <c r="T282" s="89">
        <f t="shared" si="953" ref="T282">SUM(T280:T281)</f>
        <v>26</v>
      </c>
      <c r="U282" s="89">
        <f t="shared" si="954" ref="U282">SUM(U280:U281)</f>
        <v>21</v>
      </c>
      <c r="V282" s="996">
        <f t="shared" si="955" ref="V282">SUM(V280:V281)</f>
        <v>101</v>
      </c>
      <c r="W282" s="89">
        <f t="shared" si="956" ref="W282">SUM(W280:W281)</f>
        <v>22</v>
      </c>
      <c r="X282" s="89">
        <f t="shared" si="957" ref="X282">SUM(X280:X281)</f>
        <v>25</v>
      </c>
      <c r="Y282" s="89">
        <f t="shared" si="958" ref="Y282">SUM(Y280:Y281)</f>
        <v>28</v>
      </c>
      <c r="Z282" s="89">
        <f t="shared" si="959" ref="Z282">SUM(Z280:Z281)</f>
        <v>70</v>
      </c>
      <c r="AA282" s="996">
        <f t="shared" si="960" ref="AA282">SUM(AA280:AA281)</f>
        <v>145</v>
      </c>
      <c r="AB282" s="89">
        <f t="shared" si="961" ref="AB282">SUM(AB280:AB281)</f>
        <v>29</v>
      </c>
      <c r="AC282" s="89">
        <f t="shared" si="962" ref="AC282">SUM(AC280:AC281)</f>
        <v>36</v>
      </c>
      <c r="AD282" s="89">
        <f t="shared" si="963" ref="AD282">SUM(AD280:AD281)</f>
        <v>33</v>
      </c>
      <c r="AE282" s="89">
        <f t="shared" si="964" ref="AE282">SUM(AE280:AE281)</f>
        <v>29</v>
      </c>
      <c r="AF282" s="996">
        <f t="shared" si="965" ref="AF282">SUM(AF280:AF281)</f>
        <v>127</v>
      </c>
      <c r="AG282" s="89">
        <f t="shared" si="966" ref="AG282">SUM(AG280:AG281)</f>
        <v>30</v>
      </c>
      <c r="AH282" s="89">
        <f t="shared" si="967" ref="AH282">SUM(AH280:AH281)</f>
        <v>37</v>
      </c>
      <c r="AI282" s="89">
        <f t="shared" si="968" ref="AI282">SUM(AI280:AI281)</f>
        <v>31</v>
      </c>
      <c r="AJ282" s="89">
        <f t="shared" si="969" ref="AJ282">SUM(AJ280:AJ281)</f>
        <v>14</v>
      </c>
      <c r="AK282" s="996">
        <f t="shared" si="970" ref="AK282">SUM(AK280:AK281)</f>
        <v>112</v>
      </c>
      <c r="AL282" s="89">
        <f t="shared" si="971" ref="AL282">SUM(AL280:AL281)</f>
        <v>28</v>
      </c>
      <c r="AM282" s="89">
        <f t="shared" si="972" ref="AM282">SUM(AM280:AM281)</f>
        <v>1</v>
      </c>
      <c r="AN282" s="89">
        <f t="shared" si="973" ref="AN282">SUM(AN280:AN281)</f>
        <v>33</v>
      </c>
      <c r="AO282" s="89">
        <f t="shared" si="974" ref="AO282">SUM(AO280:AO281)</f>
        <v>33</v>
      </c>
      <c r="AP282" s="996">
        <f t="shared" si="975" ref="AP282">SUM(AP280:AP281)</f>
        <v>95</v>
      </c>
      <c r="AQ282" s="89">
        <f t="shared" si="976" ref="AQ282:AV282">SUM(AQ280:AQ281)</f>
        <v>65</v>
      </c>
      <c r="AR282" s="89">
        <f t="shared" si="976"/>
        <v>62</v>
      </c>
      <c r="AS282" s="89">
        <f t="shared" si="976"/>
        <v>33</v>
      </c>
      <c r="AT282" s="89">
        <f t="shared" si="976"/>
        <v>48</v>
      </c>
      <c r="AU282" s="996">
        <f t="shared" si="976"/>
        <v>208</v>
      </c>
      <c r="AV282" s="89">
        <f t="shared" si="976"/>
        <v>57</v>
      </c>
      <c r="AW282" s="89">
        <f t="shared" si="977" ref="AW282:BB282">SUM(AW280:AW281)</f>
        <v>67</v>
      </c>
      <c r="AX282" s="89">
        <f t="shared" si="977"/>
        <v>63</v>
      </c>
      <c r="AY282" s="89">
        <f t="shared" si="977"/>
        <v>58</v>
      </c>
      <c r="AZ282" s="996">
        <f t="shared" si="977"/>
        <v>245</v>
      </c>
      <c r="BA282" s="89">
        <f t="shared" si="977"/>
        <v>56</v>
      </c>
      <c r="BB282" s="89">
        <f t="shared" si="977"/>
        <v>57</v>
      </c>
      <c r="BC282" s="89">
        <f>SUM(BC280:BC281)</f>
        <v>69</v>
      </c>
      <c r="BD282" s="89">
        <f t="shared" si="978" ref="BD282:BE282">SUM(BD280:BD281)</f>
        <v>60</v>
      </c>
      <c r="BE282" s="999">
        <f t="shared" si="978"/>
        <v>242</v>
      </c>
      <c r="BF282" s="89">
        <f>SUM(BF280:BF281)</f>
        <v>56</v>
      </c>
      <c r="BG282" s="89">
        <f>SUM(BG280:BG281)</f>
        <v>58</v>
      </c>
      <c r="BH282" s="742">
        <f>SUM(BH280:BH281)</f>
        <v>37</v>
      </c>
      <c r="BI282" s="90"/>
      <c r="BJ282" s="997"/>
      <c r="BK282" s="90"/>
      <c r="BL282" s="90"/>
      <c r="BM282" s="90"/>
      <c r="BN282" s="90"/>
      <c r="BO282" s="997"/>
      <c r="BP282" s="997"/>
      <c r="BQ282" s="997"/>
      <c r="BR282" s="997"/>
      <c r="BS282" s="57"/>
    </row>
    <row r="283" spans="1:71" s="22" customFormat="1" ht="15">
      <c r="A283" s="491"/>
      <c r="B283" s="485"/>
      <c r="C283" s="1010"/>
      <c r="D283" s="1010"/>
      <c r="E283" s="1010"/>
      <c r="F283" s="1010"/>
      <c r="G283" s="1010"/>
      <c r="H283" s="840"/>
      <c r="I283" s="840"/>
      <c r="J283" s="840"/>
      <c r="K283" s="840"/>
      <c r="L283" s="1010"/>
      <c r="M283" s="840"/>
      <c r="N283" s="840"/>
      <c r="O283" s="840"/>
      <c r="P283" s="840"/>
      <c r="Q283" s="1010"/>
      <c r="R283" s="840"/>
      <c r="S283" s="840"/>
      <c r="T283" s="840"/>
      <c r="U283" s="840"/>
      <c r="V283" s="1010"/>
      <c r="W283" s="840"/>
      <c r="X283" s="840"/>
      <c r="Y283" s="840"/>
      <c r="Z283" s="840"/>
      <c r="AA283" s="1010"/>
      <c r="AB283" s="840"/>
      <c r="AC283" s="840"/>
      <c r="AD283" s="840"/>
      <c r="AE283" s="840"/>
      <c r="AF283" s="1010"/>
      <c r="AG283" s="840"/>
      <c r="AH283" s="840"/>
      <c r="AI283" s="840"/>
      <c r="AJ283" s="840"/>
      <c r="AK283" s="1010"/>
      <c r="AL283" s="840"/>
      <c r="AM283" s="840"/>
      <c r="AN283" s="840"/>
      <c r="AO283" s="840"/>
      <c r="AP283" s="1010"/>
      <c r="AQ283" s="840"/>
      <c r="AR283" s="840"/>
      <c r="AS283" s="840"/>
      <c r="AT283" s="840"/>
      <c r="AU283" s="1010"/>
      <c r="AV283" s="840"/>
      <c r="AW283" s="840"/>
      <c r="AX283" s="840"/>
      <c r="AY283" s="840"/>
      <c r="AZ283" s="1010"/>
      <c r="BA283" s="840"/>
      <c r="BB283" s="840"/>
      <c r="BC283" s="840"/>
      <c r="BD283" s="840"/>
      <c r="BE283" s="1010"/>
      <c r="BF283" s="840"/>
      <c r="BG283" s="840"/>
      <c r="BH283" s="841"/>
      <c r="BI283" s="840"/>
      <c r="BJ283" s="1010"/>
      <c r="BK283" s="840"/>
      <c r="BL283" s="840"/>
      <c r="BM283" s="840"/>
      <c r="BN283" s="840"/>
      <c r="BO283" s="1010"/>
      <c r="BP283" s="1010"/>
      <c r="BQ283" s="1010"/>
      <c r="BR283" s="1010"/>
      <c r="BS283" s="822"/>
    </row>
    <row r="284" spans="1:71" s="29" customFormat="1" ht="15">
      <c r="A284" s="520" t="s">
        <v>823</v>
      </c>
      <c r="B284" s="232"/>
      <c r="C284" s="1025"/>
      <c r="D284" s="1025"/>
      <c r="E284" s="1025"/>
      <c r="F284" s="1025"/>
      <c r="G284" s="1025"/>
      <c r="H284" s="650"/>
      <c r="I284" s="650"/>
      <c r="J284" s="650"/>
      <c r="K284" s="650"/>
      <c r="L284" s="1025"/>
      <c r="M284" s="650"/>
      <c r="N284" s="650"/>
      <c r="O284" s="650"/>
      <c r="P284" s="650"/>
      <c r="Q284" s="1025"/>
      <c r="R284" s="650"/>
      <c r="S284" s="650"/>
      <c r="T284" s="650"/>
      <c r="U284" s="650"/>
      <c r="V284" s="1025">
        <f t="shared" si="979" ref="V284:AP284">V270/Q270-1</f>
        <v>0.097719869706840434</v>
      </c>
      <c r="W284" s="650">
        <f t="shared" si="979"/>
        <v>0.071713147410358502</v>
      </c>
      <c r="X284" s="650">
        <f t="shared" si="979"/>
        <v>0.071713147410358502</v>
      </c>
      <c r="Y284" s="650">
        <f t="shared" si="979"/>
        <v>0.062256809338521402</v>
      </c>
      <c r="Z284" s="650">
        <f t="shared" si="979"/>
        <v>0.083333333333333259</v>
      </c>
      <c r="AA284" s="1025">
        <f t="shared" si="979"/>
        <v>0.072205736894164207</v>
      </c>
      <c r="AB284" s="650">
        <f t="shared" si="979"/>
        <v>0.063197026022304925</v>
      </c>
      <c r="AC284" s="650">
        <f t="shared" si="979"/>
        <v>0.052044609665427455</v>
      </c>
      <c r="AD284" s="650">
        <f t="shared" si="979"/>
        <v>0.043956043956044022</v>
      </c>
      <c r="AE284" s="650">
        <f t="shared" si="979"/>
        <v>0.0293040293040292</v>
      </c>
      <c r="AF284" s="1025">
        <f t="shared" si="979"/>
        <v>0.047047970479704881</v>
      </c>
      <c r="AG284" s="650">
        <f t="shared" si="979"/>
        <v>0.0069930069930070893</v>
      </c>
      <c r="AH284" s="650">
        <f t="shared" si="979"/>
        <v>0.0035335689045936647</v>
      </c>
      <c r="AI284" s="650">
        <f t="shared" si="979"/>
        <v>0.021052631578947434</v>
      </c>
      <c r="AJ284" s="650">
        <f t="shared" si="979"/>
        <v>0.003558718861210064</v>
      </c>
      <c r="AK284" s="1025">
        <f t="shared" si="979"/>
        <v>0.0088105726872247381</v>
      </c>
      <c r="AL284" s="650">
        <f t="shared" si="979"/>
        <v>-0.02083333333333337</v>
      </c>
      <c r="AM284" s="650">
        <f t="shared" si="979"/>
        <v>-0.073943661971830998</v>
      </c>
      <c r="AN284" s="650">
        <f t="shared" si="979"/>
        <v>-0.013745704467353903</v>
      </c>
      <c r="AO284" s="650">
        <f t="shared" si="979"/>
        <v>-0.070921985815602828</v>
      </c>
      <c r="AP284" s="1025">
        <f t="shared" si="979"/>
        <v>-0.044541484716157154</v>
      </c>
      <c r="AQ284" s="650">
        <f t="shared" si="980" ref="AQ284:AV284">AQ270/AL270-1</f>
        <v>0.61347517730496448</v>
      </c>
      <c r="AR284" s="650">
        <f t="shared" si="980"/>
        <v>0.69961977186311786</v>
      </c>
      <c r="AS284" s="650">
        <f t="shared" si="980"/>
        <v>0.60278745644599296</v>
      </c>
      <c r="AT284" s="650">
        <f t="shared" si="980"/>
        <v>0.75190839694656497</v>
      </c>
      <c r="AU284" s="1025">
        <f t="shared" si="980"/>
        <v>0.66453382084095058</v>
      </c>
      <c r="AV284" s="650">
        <f t="shared" si="980"/>
        <v>0.02857142857142847</v>
      </c>
      <c r="AW284" s="650">
        <f t="shared" si="981" ref="AW284:BB284">AW270/AR270-1</f>
        <v>0.040268456375838868</v>
      </c>
      <c r="AX284" s="650">
        <f t="shared" si="981"/>
        <v>0.006521739130434856</v>
      </c>
      <c r="AY284" s="650">
        <f t="shared" si="981"/>
        <v>-0.050108932461873645</v>
      </c>
      <c r="AZ284" s="1025">
        <f t="shared" si="981"/>
        <v>0.0060406370126304676</v>
      </c>
      <c r="BA284" s="650">
        <f t="shared" si="981"/>
        <v>-0.010683760683760646</v>
      </c>
      <c r="BB284" s="650">
        <f t="shared" si="981"/>
        <v>-0.025806451612903181</v>
      </c>
      <c r="BC284" s="650">
        <f>BC270/AX270-1</f>
        <v>0</v>
      </c>
      <c r="BD284" s="650">
        <f t="shared" si="982" ref="BD284:BE284">BD270/AY270-1</f>
        <v>0.071100917431192734</v>
      </c>
      <c r="BE284" s="1025">
        <f t="shared" si="982"/>
        <v>0.0076419213973799582</v>
      </c>
      <c r="BF284" s="650">
        <f>BF270/BA270-1</f>
        <v>0.032397408207343492</v>
      </c>
      <c r="BG284" s="650">
        <f>BG270/BB270-1</f>
        <v>0.04635761589403975</v>
      </c>
      <c r="BH284" s="752">
        <f>BH270/BC270-1</f>
        <v>0.051835853131749543</v>
      </c>
      <c r="BI284" s="925">
        <v>0.03</v>
      </c>
      <c r="BJ284" s="1025">
        <f>BJ270/BE270-1</f>
        <v>0.04009209100758393</v>
      </c>
      <c r="BK284" s="925">
        <v>0.03</v>
      </c>
      <c r="BL284" s="925">
        <v>0.03</v>
      </c>
      <c r="BM284" s="925">
        <v>0.03</v>
      </c>
      <c r="BN284" s="925">
        <v>0.03</v>
      </c>
      <c r="BO284" s="1025">
        <f>BO270/BJ270-1</f>
        <v>0.030000000000000027</v>
      </c>
      <c r="BP284" s="1034">
        <v>0.03</v>
      </c>
      <c r="BQ284" s="1034">
        <v>0.03</v>
      </c>
      <c r="BR284" s="1034">
        <v>0.03</v>
      </c>
      <c r="BS284" s="649"/>
    </row>
    <row r="285" spans="1:71" s="25" customFormat="1" ht="15">
      <c r="A285" s="43" t="s">
        <v>734</v>
      </c>
      <c r="B285" s="479"/>
      <c r="C285" s="1016"/>
      <c r="D285" s="1016"/>
      <c r="E285" s="1016"/>
      <c r="F285" s="1016"/>
      <c r="G285" s="1016"/>
      <c r="H285" s="393"/>
      <c r="I285" s="393"/>
      <c r="J285" s="393"/>
      <c r="K285" s="393"/>
      <c r="L285" s="1016"/>
      <c r="M285" s="393"/>
      <c r="N285" s="393"/>
      <c r="O285" s="393"/>
      <c r="P285" s="393"/>
      <c r="Q285" s="1015">
        <f t="shared" si="983" ref="Q285:AQ285">-Q275/Q270</f>
        <v>0.49077090119435396</v>
      </c>
      <c r="R285" s="158">
        <f t="shared" si="983"/>
        <v>0.50996015936254979</v>
      </c>
      <c r="S285" s="158">
        <f t="shared" si="983"/>
        <v>0.48207171314741037</v>
      </c>
      <c r="T285" s="158">
        <f t="shared" si="983"/>
        <v>0.50972762645914393</v>
      </c>
      <c r="U285" s="158">
        <f t="shared" si="983"/>
        <v>0.51190476190476186</v>
      </c>
      <c r="V285" s="1015">
        <f t="shared" si="983"/>
        <v>0.50346191889218594</v>
      </c>
      <c r="W285" s="158">
        <f t="shared" si="983"/>
        <v>0.50557620817843862</v>
      </c>
      <c r="X285" s="158">
        <f t="shared" si="983"/>
        <v>0.53159851301115246</v>
      </c>
      <c r="Y285" s="158">
        <f t="shared" si="983"/>
        <v>0.52014652014652019</v>
      </c>
      <c r="Z285" s="158">
        <f t="shared" si="983"/>
        <v>0.52380952380952384</v>
      </c>
      <c r="AA285" s="1015">
        <f t="shared" si="983"/>
        <v>0.52029520295202947</v>
      </c>
      <c r="AB285" s="158">
        <f t="shared" si="983"/>
        <v>0.52097902097902093</v>
      </c>
      <c r="AC285" s="158">
        <f t="shared" si="983"/>
        <v>0.5053003533568905</v>
      </c>
      <c r="AD285" s="158">
        <f t="shared" si="983"/>
        <v>0.55789473684210522</v>
      </c>
      <c r="AE285" s="158">
        <f t="shared" si="983"/>
        <v>0.51245551601423489</v>
      </c>
      <c r="AF285" s="1015">
        <f t="shared" si="983"/>
        <v>0.52422907488986781</v>
      </c>
      <c r="AG285" s="158">
        <f t="shared" si="983"/>
        <v>0.50347222222222221</v>
      </c>
      <c r="AH285" s="158">
        <f t="shared" si="983"/>
        <v>0.50352112676056338</v>
      </c>
      <c r="AI285" s="158">
        <f t="shared" si="983"/>
        <v>0.5532646048109966</v>
      </c>
      <c r="AJ285" s="158">
        <f t="shared" si="983"/>
        <v>0.53900709219858156</v>
      </c>
      <c r="AK285" s="1015">
        <f t="shared" si="983"/>
        <v>0.5248908296943231</v>
      </c>
      <c r="AL285" s="158">
        <f t="shared" si="983"/>
        <v>0.50</v>
      </c>
      <c r="AM285" s="158">
        <f t="shared" si="983"/>
        <v>0.46768060836501901</v>
      </c>
      <c r="AN285" s="158">
        <f t="shared" si="983"/>
        <v>0.44599303135888502</v>
      </c>
      <c r="AO285" s="158">
        <f t="shared" si="983"/>
        <v>0.47328244274809161</v>
      </c>
      <c r="AP285" s="1015">
        <f t="shared" si="983"/>
        <v>0.47166361974405852</v>
      </c>
      <c r="AQ285" s="158">
        <f t="shared" si="983"/>
        <v>0.51208791208791204</v>
      </c>
      <c r="AR285" s="158">
        <f t="shared" si="984" ref="AR285:AW285">-AR275/AR270</f>
        <v>0.54586129753914991</v>
      </c>
      <c r="AS285" s="158">
        <f t="shared" si="984"/>
        <v>0.58478260869565213</v>
      </c>
      <c r="AT285" s="158">
        <f t="shared" si="984"/>
        <v>0.58605664488017428</v>
      </c>
      <c r="AU285" s="1015">
        <f t="shared" si="984"/>
        <v>0.557386051619989</v>
      </c>
      <c r="AV285" s="158">
        <f t="shared" si="984"/>
        <v>0.57264957264957261</v>
      </c>
      <c r="AW285" s="158">
        <f t="shared" si="984"/>
        <v>0.56989247311827962</v>
      </c>
      <c r="AX285" s="158">
        <f t="shared" si="985" ref="AX285:BC285">-AX275/AX270</f>
        <v>0.54427645788336931</v>
      </c>
      <c r="AY285" s="158">
        <f t="shared" si="985"/>
        <v>0.58944954128440363</v>
      </c>
      <c r="AZ285" s="1015">
        <f t="shared" si="985"/>
        <v>0.56877729257641918</v>
      </c>
      <c r="BA285" s="158">
        <f t="shared" si="985"/>
        <v>0.57235421166306699</v>
      </c>
      <c r="BB285" s="158">
        <f t="shared" si="985"/>
        <v>0.56953642384105962</v>
      </c>
      <c r="BC285" s="158">
        <f t="shared" si="985"/>
        <v>0.56587473002159827</v>
      </c>
      <c r="BD285" s="393">
        <f t="shared" si="986" ref="BD285:BE285">-BD275/BD270</f>
        <v>0.61241970021413272</v>
      </c>
      <c r="BE285" s="1016">
        <f t="shared" si="986"/>
        <v>0.58017334777898155</v>
      </c>
      <c r="BF285" s="158">
        <f>-BF275/BF270</f>
        <v>0.61924686192468614</v>
      </c>
      <c r="BG285" s="158">
        <f>-BG275/BG270</f>
        <v>0.61392405063291144</v>
      </c>
      <c r="BH285" s="750">
        <f>-BH275/BH270</f>
        <v>0.65092402464065713</v>
      </c>
      <c r="BI285" s="929">
        <v>0.50</v>
      </c>
      <c r="BJ285" s="1016">
        <f>-BJ275/BJ270</f>
        <v>0.59609324951432552</v>
      </c>
      <c r="BK285" s="929">
        <v>0.50</v>
      </c>
      <c r="BL285" s="929">
        <v>0.50</v>
      </c>
      <c r="BM285" s="929">
        <v>0.50</v>
      </c>
      <c r="BN285" s="929">
        <v>0.50</v>
      </c>
      <c r="BO285" s="1016">
        <f>-BO275/BO270</f>
        <v>0.50</v>
      </c>
      <c r="BP285" s="1039">
        <v>0.50</v>
      </c>
      <c r="BQ285" s="1039">
        <v>0.50</v>
      </c>
      <c r="BR285" s="1039">
        <v>0.50</v>
      </c>
      <c r="BS285" s="158"/>
    </row>
    <row r="286" spans="1:71" s="25" customFormat="1" ht="15">
      <c r="A286" s="43" t="s">
        <v>735</v>
      </c>
      <c r="B286" s="496"/>
      <c r="C286" s="1016"/>
      <c r="D286" s="1016"/>
      <c r="E286" s="1016"/>
      <c r="F286" s="1016"/>
      <c r="G286" s="1016"/>
      <c r="H286" s="393"/>
      <c r="I286" s="393"/>
      <c r="J286" s="393"/>
      <c r="K286" s="393"/>
      <c r="L286" s="1016"/>
      <c r="M286" s="393"/>
      <c r="N286" s="393"/>
      <c r="O286" s="393"/>
      <c r="P286" s="393"/>
      <c r="Q286" s="1015">
        <f t="shared" si="987" ref="Q286:AQ286">-Q278/Q270</f>
        <v>0.24104234527687296</v>
      </c>
      <c r="R286" s="158">
        <f t="shared" si="987"/>
        <v>0.23505976095617531</v>
      </c>
      <c r="S286" s="158">
        <f t="shared" si="987"/>
        <v>0.23904382470119523</v>
      </c>
      <c r="T286" s="158">
        <f t="shared" si="987"/>
        <v>0.22957198443579765</v>
      </c>
      <c r="U286" s="158">
        <f t="shared" si="987"/>
        <v>0.24603174603174602</v>
      </c>
      <c r="V286" s="1015">
        <f t="shared" si="987"/>
        <v>0.23738872403560832</v>
      </c>
      <c r="W286" s="158">
        <f t="shared" si="987"/>
        <v>0.24907063197026022</v>
      </c>
      <c r="X286" s="158">
        <f t="shared" si="987"/>
        <v>0.23791821561338289</v>
      </c>
      <c r="Y286" s="158">
        <f t="shared" si="987"/>
        <v>0.23809523809523808</v>
      </c>
      <c r="Z286" s="158">
        <f t="shared" si="987"/>
        <v>0.25641025641025639</v>
      </c>
      <c r="AA286" s="1015">
        <f t="shared" si="987"/>
        <v>0.24538745387453875</v>
      </c>
      <c r="AB286" s="158">
        <f t="shared" si="987"/>
        <v>0.24475524475524477</v>
      </c>
      <c r="AC286" s="158">
        <f t="shared" si="987"/>
        <v>0.24381625441696114</v>
      </c>
      <c r="AD286" s="158">
        <f t="shared" si="987"/>
        <v>0.23859649122807017</v>
      </c>
      <c r="AE286" s="158">
        <f t="shared" si="987"/>
        <v>0.25266903914590749</v>
      </c>
      <c r="AF286" s="1015">
        <f t="shared" si="987"/>
        <v>0.24493392070484582</v>
      </c>
      <c r="AG286" s="158">
        <f t="shared" si="987"/>
        <v>0.24652777777777779</v>
      </c>
      <c r="AH286" s="158">
        <f t="shared" si="987"/>
        <v>0.25</v>
      </c>
      <c r="AI286" s="158">
        <f t="shared" si="987"/>
        <v>0.23711340206185566</v>
      </c>
      <c r="AJ286" s="158">
        <f t="shared" si="987"/>
        <v>0.26241134751773049</v>
      </c>
      <c r="AK286" s="1015">
        <f t="shared" si="987"/>
        <v>0.24890829694323144</v>
      </c>
      <c r="AL286" s="158">
        <f t="shared" si="987"/>
        <v>0.26595744680851063</v>
      </c>
      <c r="AM286" s="158">
        <f t="shared" si="987"/>
        <v>0.41825095057034223</v>
      </c>
      <c r="AN286" s="158">
        <f t="shared" si="987"/>
        <v>0.23693379790940766</v>
      </c>
      <c r="AO286" s="158">
        <f t="shared" si="987"/>
        <v>0.26335877862595419</v>
      </c>
      <c r="AP286" s="1015">
        <f t="shared" si="987"/>
        <v>0.29433272394881171</v>
      </c>
      <c r="AQ286" s="158">
        <f t="shared" si="987"/>
        <v>0.4175824175824176</v>
      </c>
      <c r="AR286" s="158">
        <f t="shared" si="988" ref="AR286:AW286">-AR278/AR270</f>
        <v>0.41610738255033558</v>
      </c>
      <c r="AS286" s="158">
        <f t="shared" si="988"/>
        <v>0.44782608695652176</v>
      </c>
      <c r="AT286" s="158">
        <f t="shared" si="988"/>
        <v>0.44662309368191722</v>
      </c>
      <c r="AU286" s="1015">
        <f t="shared" si="988"/>
        <v>0.43218012081274026</v>
      </c>
      <c r="AV286" s="158">
        <f t="shared" si="988"/>
        <v>0.43162393162393164</v>
      </c>
      <c r="AW286" s="158">
        <f t="shared" si="988"/>
        <v>0.39784946236559138</v>
      </c>
      <c r="AX286" s="158">
        <f t="shared" si="989" ref="AX286:BC286">-AX278/AX270</f>
        <v>0.44708423326133911</v>
      </c>
      <c r="AY286" s="158">
        <f t="shared" si="989"/>
        <v>0.50458715596330272</v>
      </c>
      <c r="AZ286" s="1015">
        <f t="shared" si="989"/>
        <v>0.4443231441048035</v>
      </c>
      <c r="BA286" s="158">
        <f t="shared" si="989"/>
        <v>0.43844492440604754</v>
      </c>
      <c r="BB286" s="158">
        <f t="shared" si="989"/>
        <v>0.46357615894039733</v>
      </c>
      <c r="BC286" s="158">
        <f t="shared" si="989"/>
        <v>0.42548596112311016</v>
      </c>
      <c r="BD286" s="393">
        <f t="shared" si="990" ref="BD286:BE286">-BD278/BD270</f>
        <v>0.49678800856531047</v>
      </c>
      <c r="BE286" s="1016">
        <f t="shared" si="990"/>
        <v>0.4561213434452871</v>
      </c>
      <c r="BF286" s="158">
        <f>-BF278/BF270</f>
        <v>0.47071129707112969</v>
      </c>
      <c r="BG286" s="158">
        <f>-BG278/BG270</f>
        <v>0.47257383966244726</v>
      </c>
      <c r="BH286" s="750">
        <f>-BH278/BH270</f>
        <v>0.47638603696098564</v>
      </c>
      <c r="BI286" s="929">
        <v>0.40</v>
      </c>
      <c r="BJ286" s="1016">
        <f>-BJ278/BJ270</f>
        <v>0.45489554741902388</v>
      </c>
      <c r="BK286" s="929">
        <v>0.40</v>
      </c>
      <c r="BL286" s="929">
        <v>0.40</v>
      </c>
      <c r="BM286" s="929">
        <v>0.40</v>
      </c>
      <c r="BN286" s="929">
        <v>0.40</v>
      </c>
      <c r="BO286" s="1016">
        <f>-BO278/BO270</f>
        <v>0.40</v>
      </c>
      <c r="BP286" s="1039">
        <v>0.40</v>
      </c>
      <c r="BQ286" s="1039">
        <v>0.40</v>
      </c>
      <c r="BR286" s="1039">
        <v>0.40</v>
      </c>
      <c r="BS286" s="158"/>
    </row>
    <row r="287" spans="1:71" s="25" customFormat="1" ht="15">
      <c r="A287" s="479"/>
      <c r="B287" s="496"/>
      <c r="C287" s="1016"/>
      <c r="D287" s="1016"/>
      <c r="E287" s="1016"/>
      <c r="F287" s="1016"/>
      <c r="G287" s="1016"/>
      <c r="H287" s="393"/>
      <c r="I287" s="393"/>
      <c r="J287" s="393"/>
      <c r="K287" s="393"/>
      <c r="L287" s="1016"/>
      <c r="M287" s="393"/>
      <c r="N287" s="393"/>
      <c r="O287" s="393"/>
      <c r="P287" s="393"/>
      <c r="Q287" s="1016"/>
      <c r="R287" s="393"/>
      <c r="S287" s="393"/>
      <c r="T287" s="393"/>
      <c r="U287" s="393"/>
      <c r="V287" s="1016"/>
      <c r="W287" s="393"/>
      <c r="X287" s="393"/>
      <c r="Y287" s="393"/>
      <c r="Z287" s="393"/>
      <c r="AA287" s="1016"/>
      <c r="AB287" s="393"/>
      <c r="AC287" s="393"/>
      <c r="AD287" s="393"/>
      <c r="AE287" s="393"/>
      <c r="AF287" s="1016"/>
      <c r="AG287" s="393"/>
      <c r="AH287" s="393"/>
      <c r="AI287" s="393"/>
      <c r="AJ287" s="393"/>
      <c r="AK287" s="1016"/>
      <c r="AL287" s="393"/>
      <c r="AM287" s="393"/>
      <c r="AN287" s="393"/>
      <c r="AO287" s="393"/>
      <c r="AP287" s="1016"/>
      <c r="AQ287" s="393"/>
      <c r="AR287" s="393"/>
      <c r="AS287" s="393"/>
      <c r="AT287" s="393"/>
      <c r="AU287" s="1016"/>
      <c r="AV287" s="393"/>
      <c r="AW287" s="393"/>
      <c r="AX287" s="393"/>
      <c r="AY287" s="393"/>
      <c r="AZ287" s="1016"/>
      <c r="BA287" s="393"/>
      <c r="BB287" s="393"/>
      <c r="BC287" s="393"/>
      <c r="BD287" s="393"/>
      <c r="BE287" s="1016"/>
      <c r="BF287" s="393"/>
      <c r="BG287" s="393"/>
      <c r="BH287" s="751"/>
      <c r="BI287" s="393"/>
      <c r="BJ287" s="1016"/>
      <c r="BK287" s="393"/>
      <c r="BL287" s="393"/>
      <c r="BM287" s="393"/>
      <c r="BN287" s="393"/>
      <c r="BO287" s="1016"/>
      <c r="BP287" s="1016"/>
      <c r="BQ287" s="1016"/>
      <c r="BR287" s="1016"/>
      <c r="BS287" s="158"/>
    </row>
    <row r="288" spans="1:71" s="17" customFormat="1" ht="15">
      <c r="A288" s="818" t="s">
        <v>736</v>
      </c>
      <c r="B288" s="818"/>
      <c r="C288" s="837"/>
      <c r="D288" s="837"/>
      <c r="E288" s="837"/>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7"/>
      <c r="AD288" s="837"/>
      <c r="AE288" s="837"/>
      <c r="AF288" s="837"/>
      <c r="AG288" s="837"/>
      <c r="AH288" s="837"/>
      <c r="AI288" s="837"/>
      <c r="AJ288" s="837"/>
      <c r="AK288" s="837"/>
      <c r="AL288" s="837"/>
      <c r="AM288" s="837"/>
      <c r="AN288" s="837"/>
      <c r="AO288" s="837"/>
      <c r="AP288" s="837"/>
      <c r="AQ288" s="837"/>
      <c r="AR288" s="837"/>
      <c r="AS288" s="837"/>
      <c r="AT288" s="837"/>
      <c r="AU288" s="837"/>
      <c r="AV288" s="837"/>
      <c r="AW288" s="837"/>
      <c r="AX288" s="837"/>
      <c r="AY288" s="837"/>
      <c r="AZ288" s="837"/>
      <c r="BA288" s="837"/>
      <c r="BB288" s="837"/>
      <c r="BC288" s="837"/>
      <c r="BD288" s="837"/>
      <c r="BE288" s="837"/>
      <c r="BF288" s="837"/>
      <c r="BG288" s="837"/>
      <c r="BH288" s="838"/>
      <c r="BI288" s="837"/>
      <c r="BJ288" s="837"/>
      <c r="BK288" s="837"/>
      <c r="BL288" s="837"/>
      <c r="BM288" s="837"/>
      <c r="BN288" s="837"/>
      <c r="BO288" s="837"/>
      <c r="BP288" s="837"/>
      <c r="BQ288" s="837"/>
      <c r="BR288" s="837"/>
      <c r="BS288" s="457"/>
    </row>
    <row r="289" spans="1:71" s="51" customFormat="1" ht="15" hidden="1" outlineLevel="1">
      <c r="A289" s="109" t="s">
        <v>737</v>
      </c>
      <c r="B289" s="391"/>
      <c r="C289" s="1000"/>
      <c r="D289" s="1000"/>
      <c r="E289" s="1000"/>
      <c r="F289" s="1000"/>
      <c r="G289" s="1000"/>
      <c r="H289" s="128"/>
      <c r="I289" s="128"/>
      <c r="J289" s="128"/>
      <c r="K289" s="128"/>
      <c r="L289" s="1000"/>
      <c r="M289" s="128"/>
      <c r="N289" s="128"/>
      <c r="O289" s="128"/>
      <c r="P289" s="128"/>
      <c r="Q289" s="1000"/>
      <c r="R289" s="128"/>
      <c r="S289" s="128"/>
      <c r="T289" s="128"/>
      <c r="U289" s="128"/>
      <c r="V289" s="1031">
        <v>866</v>
      </c>
      <c r="W289" s="57">
        <f>V291</f>
        <v>881</v>
      </c>
      <c r="X289" s="57">
        <f>W291</f>
        <v>885</v>
      </c>
      <c r="Y289" s="57">
        <f t="shared" si="991" ref="Y289:Z289">X291</f>
        <v>890</v>
      </c>
      <c r="Z289" s="57">
        <f t="shared" si="991"/>
        <v>887</v>
      </c>
      <c r="AA289" s="999">
        <f>V291</f>
        <v>881</v>
      </c>
      <c r="AB289" s="57">
        <f>AA291</f>
        <v>890</v>
      </c>
      <c r="AC289" s="57">
        <f>AB291</f>
        <v>893</v>
      </c>
      <c r="AD289" s="57">
        <f t="shared" si="992" ref="AD289:AE289">AC291</f>
        <v>899</v>
      </c>
      <c r="AE289" s="57">
        <f t="shared" si="992"/>
        <v>902</v>
      </c>
      <c r="AF289" s="999">
        <f>AA291</f>
        <v>890</v>
      </c>
      <c r="AG289" s="57">
        <f>AF291</f>
        <v>898</v>
      </c>
      <c r="AH289" s="57">
        <f>AG291</f>
        <v>904</v>
      </c>
      <c r="AI289" s="57">
        <f t="shared" si="993" ref="AI289:AJ289">AH291</f>
        <v>906</v>
      </c>
      <c r="AJ289" s="57">
        <f t="shared" si="993"/>
        <v>912</v>
      </c>
      <c r="AK289" s="999">
        <f>AF291</f>
        <v>898</v>
      </c>
      <c r="AL289" s="57">
        <f>AK291</f>
        <v>915</v>
      </c>
      <c r="AM289" s="57">
        <f>AL291</f>
        <v>877</v>
      </c>
      <c r="AN289" s="57">
        <f>AM291</f>
        <v>886</v>
      </c>
      <c r="AO289" s="57">
        <f t="shared" si="994" ref="AO289">AN291</f>
        <v>855</v>
      </c>
      <c r="AP289" s="999">
        <f>AK291</f>
        <v>915</v>
      </c>
      <c r="AQ289" s="128"/>
      <c r="AR289" s="128"/>
      <c r="AS289" s="128"/>
      <c r="AT289" s="128"/>
      <c r="AU289" s="1000"/>
      <c r="AV289" s="128"/>
      <c r="AW289" s="128"/>
      <c r="AX289" s="128"/>
      <c r="AY289" s="128"/>
      <c r="AZ289" s="1000"/>
      <c r="BA289" s="128"/>
      <c r="BB289" s="128"/>
      <c r="BC289" s="128"/>
      <c r="BD289" s="128"/>
      <c r="BE289" s="1000"/>
      <c r="BF289" s="128"/>
      <c r="BG289" s="128"/>
      <c r="BH289" s="465"/>
      <c r="BI289" s="128"/>
      <c r="BJ289" s="1000"/>
      <c r="BK289" s="128"/>
      <c r="BL289" s="128"/>
      <c r="BM289" s="128"/>
      <c r="BN289" s="128"/>
      <c r="BO289" s="1000"/>
      <c r="BP289" s="1000"/>
      <c r="BQ289" s="1000"/>
      <c r="BR289" s="1000"/>
      <c r="BS289" s="57"/>
    </row>
    <row r="290" spans="1:71" s="300" customFormat="1" ht="15" hidden="1" outlineLevel="1">
      <c r="A290" s="110" t="s">
        <v>738</v>
      </c>
      <c r="B290" s="113"/>
      <c r="C290" s="995"/>
      <c r="D290" s="995"/>
      <c r="E290" s="995"/>
      <c r="F290" s="995"/>
      <c r="G290" s="995"/>
      <c r="H290" s="115"/>
      <c r="I290" s="115"/>
      <c r="J290" s="115"/>
      <c r="K290" s="115"/>
      <c r="L290" s="995"/>
      <c r="M290" s="115"/>
      <c r="N290" s="115"/>
      <c r="O290" s="115"/>
      <c r="P290" s="115"/>
      <c r="Q290" s="995"/>
      <c r="R290" s="115"/>
      <c r="S290" s="115"/>
      <c r="T290" s="115"/>
      <c r="U290" s="115"/>
      <c r="V290" s="998">
        <f t="shared" si="995" ref="V290:AK290">V291-V289</f>
        <v>15</v>
      </c>
      <c r="W290" s="58">
        <f t="shared" si="995"/>
        <v>4</v>
      </c>
      <c r="X290" s="58">
        <f t="shared" si="995"/>
        <v>5</v>
      </c>
      <c r="Y290" s="58">
        <f t="shared" si="995"/>
        <v>-3</v>
      </c>
      <c r="Z290" s="58">
        <f t="shared" si="995"/>
        <v>3</v>
      </c>
      <c r="AA290" s="998">
        <f t="shared" si="995"/>
        <v>9</v>
      </c>
      <c r="AB290" s="58">
        <f t="shared" si="995"/>
        <v>3</v>
      </c>
      <c r="AC290" s="58">
        <f t="shared" si="995"/>
        <v>6</v>
      </c>
      <c r="AD290" s="58">
        <f t="shared" si="995"/>
        <v>3</v>
      </c>
      <c r="AE290" s="58">
        <f t="shared" si="995"/>
        <v>-4</v>
      </c>
      <c r="AF290" s="998">
        <f t="shared" si="995"/>
        <v>8</v>
      </c>
      <c r="AG290" s="58">
        <f t="shared" si="995"/>
        <v>6</v>
      </c>
      <c r="AH290" s="58">
        <f t="shared" si="995"/>
        <v>2</v>
      </c>
      <c r="AI290" s="58">
        <f t="shared" si="995"/>
        <v>6</v>
      </c>
      <c r="AJ290" s="58">
        <f t="shared" si="995"/>
        <v>3</v>
      </c>
      <c r="AK290" s="998">
        <f t="shared" si="995"/>
        <v>17</v>
      </c>
      <c r="AL290" s="58">
        <f>AL291-AL289</f>
        <v>-38</v>
      </c>
      <c r="AM290" s="58">
        <f>AM291-AM289</f>
        <v>9</v>
      </c>
      <c r="AN290" s="58">
        <f>AN291-AN289</f>
        <v>-31</v>
      </c>
      <c r="AO290" s="58">
        <f t="shared" si="996" ref="AO290:AP290">AO291-AO289</f>
        <v>2</v>
      </c>
      <c r="AP290" s="998">
        <f t="shared" si="996"/>
        <v>-58</v>
      </c>
      <c r="AQ290" s="115"/>
      <c r="AR290" s="115"/>
      <c r="AS290" s="115"/>
      <c r="AT290" s="115"/>
      <c r="AU290" s="995"/>
      <c r="AV290" s="115"/>
      <c r="AW290" s="115"/>
      <c r="AX290" s="115"/>
      <c r="AY290" s="115"/>
      <c r="AZ290" s="995"/>
      <c r="BA290" s="115"/>
      <c r="BB290" s="115"/>
      <c r="BC290" s="115"/>
      <c r="BD290" s="115"/>
      <c r="BE290" s="995"/>
      <c r="BF290" s="115"/>
      <c r="BG290" s="115"/>
      <c r="BH290" s="641"/>
      <c r="BI290" s="115"/>
      <c r="BJ290" s="995"/>
      <c r="BK290" s="115"/>
      <c r="BL290" s="115"/>
      <c r="BM290" s="115"/>
      <c r="BN290" s="115"/>
      <c r="BO290" s="995"/>
      <c r="BP290" s="995"/>
      <c r="BQ290" s="995"/>
      <c r="BR290" s="995"/>
      <c r="BS290" s="305"/>
    </row>
    <row r="291" spans="1:71" s="51" customFormat="1" ht="15" hidden="1" outlineLevel="1">
      <c r="A291" s="109" t="s">
        <v>739</v>
      </c>
      <c r="B291" s="391"/>
      <c r="C291" s="1000"/>
      <c r="D291" s="1000"/>
      <c r="E291" s="1000"/>
      <c r="F291" s="1000"/>
      <c r="G291" s="1000"/>
      <c r="H291" s="128"/>
      <c r="I291" s="128"/>
      <c r="J291" s="128"/>
      <c r="K291" s="128"/>
      <c r="L291" s="1000"/>
      <c r="M291" s="128"/>
      <c r="N291" s="128"/>
      <c r="O291" s="128"/>
      <c r="P291" s="128"/>
      <c r="Q291" s="1000"/>
      <c r="R291" s="128"/>
      <c r="S291" s="128"/>
      <c r="T291" s="128"/>
      <c r="U291" s="128"/>
      <c r="V291" s="1031">
        <v>881</v>
      </c>
      <c r="W291" s="922">
        <v>885</v>
      </c>
      <c r="X291" s="922">
        <v>890</v>
      </c>
      <c r="Y291" s="922">
        <v>887</v>
      </c>
      <c r="Z291" s="57">
        <f>AA291</f>
        <v>890</v>
      </c>
      <c r="AA291" s="1031">
        <v>890</v>
      </c>
      <c r="AB291" s="922">
        <v>893</v>
      </c>
      <c r="AC291" s="922">
        <v>899</v>
      </c>
      <c r="AD291" s="922">
        <v>902</v>
      </c>
      <c r="AE291" s="57">
        <f>AF291</f>
        <v>898</v>
      </c>
      <c r="AF291" s="1031">
        <v>898</v>
      </c>
      <c r="AG291" s="922">
        <v>904</v>
      </c>
      <c r="AH291" s="922">
        <v>906</v>
      </c>
      <c r="AI291" s="922">
        <v>912</v>
      </c>
      <c r="AJ291" s="57">
        <f>AK291</f>
        <v>915</v>
      </c>
      <c r="AK291" s="1031">
        <v>915</v>
      </c>
      <c r="AL291" s="922">
        <v>877</v>
      </c>
      <c r="AM291" s="922">
        <v>886</v>
      </c>
      <c r="AN291" s="922">
        <v>855</v>
      </c>
      <c r="AO291" s="57">
        <f>AP291</f>
        <v>857</v>
      </c>
      <c r="AP291" s="1031">
        <v>857</v>
      </c>
      <c r="AQ291" s="128"/>
      <c r="AR291" s="128"/>
      <c r="AS291" s="128"/>
      <c r="AT291" s="128"/>
      <c r="AU291" s="1000"/>
      <c r="AV291" s="128"/>
      <c r="AW291" s="128"/>
      <c r="AX291" s="128"/>
      <c r="AY291" s="128"/>
      <c r="AZ291" s="1000"/>
      <c r="BA291" s="128"/>
      <c r="BB291" s="128"/>
      <c r="BC291" s="128"/>
      <c r="BD291" s="128"/>
      <c r="BE291" s="1000"/>
      <c r="BF291" s="128"/>
      <c r="BG291" s="128"/>
      <c r="BH291" s="465"/>
      <c r="BI291" s="128"/>
      <c r="BJ291" s="1000"/>
      <c r="BK291" s="128"/>
      <c r="BL291" s="128"/>
      <c r="BM291" s="128"/>
      <c r="BN291" s="128"/>
      <c r="BO291" s="1000"/>
      <c r="BP291" s="1000"/>
      <c r="BQ291" s="1000"/>
      <c r="BR291" s="1000"/>
      <c r="BS291" s="57"/>
    </row>
    <row r="292" spans="1:71" s="51" customFormat="1" ht="15" hidden="1" outlineLevel="1">
      <c r="A292" s="109" t="s">
        <v>740</v>
      </c>
      <c r="B292" s="391"/>
      <c r="C292" s="1000"/>
      <c r="D292" s="1000"/>
      <c r="E292" s="1000"/>
      <c r="F292" s="1000"/>
      <c r="G292" s="1000"/>
      <c r="H292" s="128"/>
      <c r="I292" s="128"/>
      <c r="J292" s="128"/>
      <c r="K292" s="128"/>
      <c r="L292" s="1000"/>
      <c r="M292" s="128"/>
      <c r="N292" s="128"/>
      <c r="O292" s="128"/>
      <c r="P292" s="128"/>
      <c r="Q292" s="1000"/>
      <c r="R292" s="128"/>
      <c r="S292" s="128"/>
      <c r="T292" s="128"/>
      <c r="U292" s="128"/>
      <c r="V292" s="1000"/>
      <c r="W292" s="57">
        <f t="shared" si="997" ref="W292">AVERAGE(V291,W291)</f>
        <v>883</v>
      </c>
      <c r="X292" s="57">
        <f t="shared" si="998" ref="X292">AVERAGE(W291,X291)</f>
        <v>887.50</v>
      </c>
      <c r="Y292" s="57">
        <f t="shared" si="999" ref="Y292">AVERAGE(X291,Y291)</f>
        <v>888.50</v>
      </c>
      <c r="Z292" s="57">
        <f t="shared" si="1000" ref="Z292">AVERAGE(Y291,Z291)</f>
        <v>888.50</v>
      </c>
      <c r="AA292" s="999">
        <f>SUM(W292*W$3,X292*X$3,Y292*Y$3,Z292*Z$3)/SUM(W$3,X$3,Y$3,Z$3)</f>
        <v>886.89452054794515</v>
      </c>
      <c r="AB292" s="57">
        <f t="shared" si="1001" ref="AB292">AVERAGE(AA291,AB291)</f>
        <v>891.50</v>
      </c>
      <c r="AC292" s="57">
        <f t="shared" si="1002" ref="AC292">AVERAGE(AB291,AC291)</f>
        <v>896</v>
      </c>
      <c r="AD292" s="57">
        <f t="shared" si="1003" ref="AD292">AVERAGE(AC291,AD291)</f>
        <v>900.50</v>
      </c>
      <c r="AE292" s="57">
        <f t="shared" si="1004" ref="AE292">AVERAGE(AD291,AE291)</f>
        <v>900</v>
      </c>
      <c r="AF292" s="999">
        <f>SUM(AB292*AB$3,AC292*AC$3,AD292*AD$3,AE292*AE$3)/SUM(AB$3,AC$3,AD$3,AE$3)</f>
        <v>897.03287671232874</v>
      </c>
      <c r="AG292" s="57">
        <f t="shared" si="1005" ref="AG292:AJ292">AVERAGE(AF291,AG291)</f>
        <v>901</v>
      </c>
      <c r="AH292" s="57">
        <f t="shared" si="1005"/>
        <v>905</v>
      </c>
      <c r="AI292" s="57">
        <f t="shared" si="1005"/>
        <v>909</v>
      </c>
      <c r="AJ292" s="57">
        <f t="shared" si="1005"/>
        <v>913.50</v>
      </c>
      <c r="AK292" s="999">
        <f>SUM(AG292*AG$3,AH292*AH$3,AI292*AI$3,AJ292*AJ$3)/SUM(AG$3,AH$3,AI$3,AJ$3)</f>
        <v>907.16438356164383</v>
      </c>
      <c r="AL292" s="57">
        <f t="shared" si="1006" ref="AL292">AVERAGE(AK291,AL291)</f>
        <v>896</v>
      </c>
      <c r="AM292" s="57">
        <f>AVERAGE(AL291,AM291)</f>
        <v>881.50</v>
      </c>
      <c r="AN292" s="57">
        <f>AVERAGE(AM291,AN291)</f>
        <v>870.50</v>
      </c>
      <c r="AO292" s="57">
        <f t="shared" si="1007" ref="AO292">AVERAGE(AN291,AO291)</f>
        <v>856</v>
      </c>
      <c r="AP292" s="999">
        <f>SUM(AL292*AL$3,AM292*AM$3,AN292*AN$3,AO292*AO$3)/SUM(AL$3,AM$3,AN$3,AO$3)</f>
        <v>875.93032786885249</v>
      </c>
      <c r="AQ292" s="128"/>
      <c r="AR292" s="128"/>
      <c r="AS292" s="128"/>
      <c r="AT292" s="128"/>
      <c r="AU292" s="1000"/>
      <c r="AV292" s="128"/>
      <c r="AW292" s="128"/>
      <c r="AX292" s="128"/>
      <c r="AY292" s="128"/>
      <c r="AZ292" s="1000"/>
      <c r="BA292" s="128"/>
      <c r="BB292" s="128"/>
      <c r="BC292" s="128"/>
      <c r="BD292" s="128"/>
      <c r="BE292" s="1000"/>
      <c r="BF292" s="128"/>
      <c r="BG292" s="128"/>
      <c r="BH292" s="465"/>
      <c r="BI292" s="128"/>
      <c r="BJ292" s="1000"/>
      <c r="BK292" s="128"/>
      <c r="BL292" s="128"/>
      <c r="BM292" s="128"/>
      <c r="BN292" s="128"/>
      <c r="BO292" s="1000"/>
      <c r="BP292" s="1000"/>
      <c r="BQ292" s="1000"/>
      <c r="BR292" s="1000"/>
      <c r="BS292" s="57"/>
    </row>
    <row r="293" spans="1:71" s="29" customFormat="1" ht="15" hidden="1" outlineLevel="1">
      <c r="A293" s="42" t="s">
        <v>741</v>
      </c>
      <c r="B293" s="232"/>
      <c r="C293" s="1025"/>
      <c r="D293" s="1025"/>
      <c r="E293" s="1025"/>
      <c r="F293" s="1025"/>
      <c r="G293" s="1025"/>
      <c r="H293" s="650"/>
      <c r="I293" s="650"/>
      <c r="J293" s="650"/>
      <c r="K293" s="650"/>
      <c r="L293" s="1025"/>
      <c r="M293" s="650"/>
      <c r="N293" s="650"/>
      <c r="O293" s="650"/>
      <c r="P293" s="650"/>
      <c r="Q293" s="1025"/>
      <c r="R293" s="650"/>
      <c r="S293" s="650"/>
      <c r="T293" s="650"/>
      <c r="U293" s="650"/>
      <c r="V293" s="1025"/>
      <c r="W293" s="650"/>
      <c r="X293" s="650"/>
      <c r="Y293" s="650"/>
      <c r="Z293" s="650"/>
      <c r="AA293" s="1033">
        <f t="shared" si="1008" ref="AA293:AK293">AA291/V291-1</f>
        <v>0.010215664018161208</v>
      </c>
      <c r="AB293" s="649">
        <f t="shared" si="1008"/>
        <v>0.0090395480225988756</v>
      </c>
      <c r="AC293" s="649">
        <f t="shared" si="1008"/>
        <v>0.010112359550561889</v>
      </c>
      <c r="AD293" s="649">
        <f t="shared" si="1008"/>
        <v>0.016910935738444266</v>
      </c>
      <c r="AE293" s="649">
        <f t="shared" si="1008"/>
        <v>0.0089887640449437534</v>
      </c>
      <c r="AF293" s="1033">
        <f t="shared" si="1008"/>
        <v>0.0089887640449437534</v>
      </c>
      <c r="AG293" s="649">
        <f t="shared" si="1008"/>
        <v>0.012318029115341522</v>
      </c>
      <c r="AH293" s="649">
        <f t="shared" si="1008"/>
        <v>0.0077864293659621886</v>
      </c>
      <c r="AI293" s="649">
        <f t="shared" si="1008"/>
        <v>0.011086474501108556</v>
      </c>
      <c r="AJ293" s="649">
        <f t="shared" si="1008"/>
        <v>0.018930957683741756</v>
      </c>
      <c r="AK293" s="1033">
        <f t="shared" si="1008"/>
        <v>0.018930957683741756</v>
      </c>
      <c r="AL293" s="649">
        <f>AL291/AG291-1</f>
        <v>-0.02986725663716816</v>
      </c>
      <c r="AM293" s="649">
        <f>AM291/AH291-1</f>
        <v>-0.022075055187637971</v>
      </c>
      <c r="AN293" s="649">
        <f>AN291/AI291-1</f>
        <v>-0.0625</v>
      </c>
      <c r="AO293" s="649">
        <f t="shared" si="1009" ref="AO293:AP293">AO291/AJ291-1</f>
        <v>-0.063387978142076529</v>
      </c>
      <c r="AP293" s="1033">
        <f t="shared" si="1009"/>
        <v>-0.063387978142076529</v>
      </c>
      <c r="AQ293" s="650"/>
      <c r="AR293" s="650"/>
      <c r="AS293" s="650"/>
      <c r="AT293" s="650"/>
      <c r="AU293" s="1025"/>
      <c r="AV293" s="650"/>
      <c r="AW293" s="650"/>
      <c r="AX293" s="650"/>
      <c r="AY293" s="650"/>
      <c r="AZ293" s="1025"/>
      <c r="BA293" s="650"/>
      <c r="BB293" s="650"/>
      <c r="BC293" s="650"/>
      <c r="BD293" s="650"/>
      <c r="BE293" s="1025"/>
      <c r="BF293" s="650"/>
      <c r="BG293" s="650"/>
      <c r="BH293" s="752"/>
      <c r="BI293" s="650"/>
      <c r="BJ293" s="1025"/>
      <c r="BK293" s="650"/>
      <c r="BL293" s="650"/>
      <c r="BM293" s="650"/>
      <c r="BN293" s="650"/>
      <c r="BO293" s="1025"/>
      <c r="BP293" s="1025"/>
      <c r="BQ293" s="1025"/>
      <c r="BR293" s="1025"/>
      <c r="BS293" s="649"/>
    </row>
    <row r="294" spans="1:71" s="25" customFormat="1" ht="15" hidden="1" outlineLevel="1">
      <c r="A294" s="479"/>
      <c r="B294" s="496"/>
      <c r="C294" s="1016"/>
      <c r="D294" s="1016"/>
      <c r="E294" s="1016"/>
      <c r="F294" s="1016"/>
      <c r="G294" s="1016"/>
      <c r="H294" s="393"/>
      <c r="I294" s="393"/>
      <c r="J294" s="393"/>
      <c r="K294" s="393"/>
      <c r="L294" s="1016"/>
      <c r="M294" s="393"/>
      <c r="N294" s="393"/>
      <c r="O294" s="393"/>
      <c r="P294" s="393"/>
      <c r="Q294" s="1016"/>
      <c r="R294" s="393"/>
      <c r="S294" s="393"/>
      <c r="T294" s="393"/>
      <c r="U294" s="393"/>
      <c r="V294" s="1016"/>
      <c r="W294" s="393"/>
      <c r="X294" s="393"/>
      <c r="Y294" s="393"/>
      <c r="Z294" s="393"/>
      <c r="AA294" s="1016"/>
      <c r="AB294" s="393"/>
      <c r="AC294" s="393"/>
      <c r="AD294" s="393"/>
      <c r="AE294" s="393"/>
      <c r="AF294" s="1016"/>
      <c r="AG294" s="393"/>
      <c r="AH294" s="393"/>
      <c r="AI294" s="393"/>
      <c r="AJ294" s="393"/>
      <c r="AK294" s="1016"/>
      <c r="AL294" s="393"/>
      <c r="AM294" s="393"/>
      <c r="AN294" s="393"/>
      <c r="AO294" s="393"/>
      <c r="AP294" s="1016"/>
      <c r="AQ294" s="393"/>
      <c r="AR294" s="393"/>
      <c r="AS294" s="393"/>
      <c r="AT294" s="393"/>
      <c r="AU294" s="1016"/>
      <c r="AV294" s="393"/>
      <c r="AW294" s="393"/>
      <c r="AX294" s="393"/>
      <c r="AY294" s="393"/>
      <c r="AZ294" s="1016"/>
      <c r="BA294" s="393"/>
      <c r="BB294" s="393"/>
      <c r="BC294" s="393"/>
      <c r="BD294" s="393"/>
      <c r="BE294" s="1016"/>
      <c r="BF294" s="393"/>
      <c r="BG294" s="393"/>
      <c r="BH294" s="751"/>
      <c r="BI294" s="393"/>
      <c r="BJ294" s="1016"/>
      <c r="BK294" s="393"/>
      <c r="BL294" s="393"/>
      <c r="BM294" s="393"/>
      <c r="BN294" s="393"/>
      <c r="BO294" s="1016"/>
      <c r="BP294" s="1016"/>
      <c r="BQ294" s="1016"/>
      <c r="BR294" s="1016"/>
      <c r="BS294" s="158"/>
    </row>
    <row r="295" spans="1:71" s="25" customFormat="1" ht="15" hidden="1" outlineLevel="1">
      <c r="A295" s="41" t="s">
        <v>580</v>
      </c>
      <c r="B295" s="496"/>
      <c r="C295" s="1016"/>
      <c r="D295" s="1016"/>
      <c r="E295" s="1016"/>
      <c r="F295" s="1016"/>
      <c r="G295" s="1016"/>
      <c r="H295" s="393"/>
      <c r="I295" s="393"/>
      <c r="J295" s="393"/>
      <c r="K295" s="393"/>
      <c r="L295" s="1016"/>
      <c r="M295" s="393"/>
      <c r="N295" s="393"/>
      <c r="O295" s="393"/>
      <c r="P295" s="393"/>
      <c r="Q295" s="1016"/>
      <c r="R295" s="393"/>
      <c r="S295" s="393"/>
      <c r="T295" s="393"/>
      <c r="U295" s="393"/>
      <c r="V295" s="1016"/>
      <c r="W295" s="158">
        <f>W270/W292*(AA$3/W$3)</f>
        <v>1.2354976720775135</v>
      </c>
      <c r="X295" s="158">
        <f>X270/X292*(AA$3/X$3)</f>
        <v>1.2157251199504719</v>
      </c>
      <c r="Y295" s="158">
        <f>Y270/Y292*(AA$3/Y$3)</f>
        <v>1.2190183748868391</v>
      </c>
      <c r="Z295" s="158">
        <f>Z270/Z292*(AA$3/Z$3)</f>
        <v>1.2190183748868391</v>
      </c>
      <c r="AA295" s="1015">
        <f>AA270/AA292</f>
        <v>1.222242301520003</v>
      </c>
      <c r="AB295" s="158">
        <f>AB270/AB292*(AF$3/AB$3)</f>
        <v>1.3010531563532122</v>
      </c>
      <c r="AC295" s="158">
        <f>AC270/AC292*(AF$3/AC$3)</f>
        <v>1.2668637166405023</v>
      </c>
      <c r="AD295" s="158">
        <f>AD270/AD292*(AF$3/AD$3)</f>
        <v>1.255643000265553</v>
      </c>
      <c r="AE295" s="158">
        <f>AE270/AE292*(AF$3/AE$3)</f>
        <v>1.2387077294685991</v>
      </c>
      <c r="AF295" s="1015">
        <f>AF270/AF292</f>
        <v>1.2652824990761018</v>
      </c>
      <c r="AG295" s="158">
        <f>AG270/AG292*(AK$3/AG$3)</f>
        <v>1.2963374028856827</v>
      </c>
      <c r="AH295" s="158">
        <f>AH270/AH292*(AK$3/AH$3)</f>
        <v>1.2586971040009713</v>
      </c>
      <c r="AI295" s="158">
        <f>AI270/AI292*(AK$3/AI$3)</f>
        <v>1.270088965418281</v>
      </c>
      <c r="AJ295" s="158">
        <f>AJ270/AJ292*(AK$3/AJ$3)</f>
        <v>1.224744770471907</v>
      </c>
      <c r="AK295" s="1015">
        <f>AK270/AK292</f>
        <v>1.262174773115081</v>
      </c>
      <c r="AL295" s="158">
        <f>AL270/AL292*(AP$3/AL$3)</f>
        <v>1.2658457613814755</v>
      </c>
      <c r="AM295" s="158">
        <f>AM270/AM292*(AP$3/AM$3)</f>
        <v>1.1999775607262844</v>
      </c>
      <c r="AN295" s="158">
        <f>AN270/AN292*(AP$3/AN$3)</f>
        <v>1.3116150138601004</v>
      </c>
      <c r="AO295" s="158">
        <f>AO270/AO292*(AP$3/AO$3)</f>
        <v>1.2176452661519708</v>
      </c>
      <c r="AP295" s="1015">
        <f>AP270/AP292</f>
        <v>1.248957782591811</v>
      </c>
      <c r="AQ295" s="393"/>
      <c r="AR295" s="393"/>
      <c r="AS295" s="393"/>
      <c r="AT295" s="393"/>
      <c r="AU295" s="1016"/>
      <c r="AV295" s="393"/>
      <c r="AW295" s="393"/>
      <c r="AX295" s="393"/>
      <c r="AY295" s="393"/>
      <c r="AZ295" s="1016"/>
      <c r="BA295" s="393"/>
      <c r="BB295" s="393"/>
      <c r="BC295" s="393"/>
      <c r="BD295" s="393"/>
      <c r="BE295" s="1016"/>
      <c r="BF295" s="393"/>
      <c r="BG295" s="393"/>
      <c r="BH295" s="751"/>
      <c r="BI295" s="393"/>
      <c r="BJ295" s="1016"/>
      <c r="BK295" s="393"/>
      <c r="BL295" s="393"/>
      <c r="BM295" s="393"/>
      <c r="BN295" s="393"/>
      <c r="BO295" s="1016"/>
      <c r="BP295" s="1016"/>
      <c r="BQ295" s="1016"/>
      <c r="BR295" s="1016"/>
      <c r="BS295" s="158"/>
    </row>
    <row r="296" spans="1:71" s="32" customFormat="1" ht="15" hidden="1" outlineLevel="1">
      <c r="A296" s="41" t="s">
        <v>573</v>
      </c>
      <c r="B296" s="234"/>
      <c r="C296" s="1035"/>
      <c r="D296" s="1035"/>
      <c r="E296" s="1035"/>
      <c r="F296" s="1035"/>
      <c r="G296" s="1035"/>
      <c r="H296" s="221"/>
      <c r="I296" s="221"/>
      <c r="J296" s="221"/>
      <c r="K296" s="221"/>
      <c r="L296" s="1035"/>
      <c r="M296" s="221"/>
      <c r="N296" s="221"/>
      <c r="O296" s="221"/>
      <c r="P296" s="221"/>
      <c r="Q296" s="1035"/>
      <c r="R296" s="221"/>
      <c r="S296" s="221"/>
      <c r="T296" s="221"/>
      <c r="U296" s="221"/>
      <c r="V296" s="1035"/>
      <c r="W296" s="54">
        <f>-W276/W292*(AA$3/W$3)</f>
        <v>0.041336353340883349</v>
      </c>
      <c r="X296" s="54">
        <f>-X276/X292*(AA$3/X$3)</f>
        <v>0.040674818139606869</v>
      </c>
      <c r="Y296" s="54">
        <f>-Y276/Y292*(AA$3/Y$3)</f>
        <v>0.035722150179834114</v>
      </c>
      <c r="Z296" s="54">
        <f>-Z276/Z292*(AA$3/Z$3)</f>
        <v>0.040187418952313377</v>
      </c>
      <c r="AA296" s="1036">
        <f>-AA276/AA292</f>
        <v>0.039463542945756554</v>
      </c>
      <c r="AB296" s="54">
        <f>-AB276/AB292*(AF$3/AB$3)</f>
        <v>0.036393095282607341</v>
      </c>
      <c r="AC296" s="54">
        <f>-AC276/AC292*(AF$3/AC$3)</f>
        <v>0.040288952119309267</v>
      </c>
      <c r="AD296" s="54">
        <f>-AD276/AD292*(AF$3/AD$3)</f>
        <v>0.035246119305699736</v>
      </c>
      <c r="AE296" s="54">
        <f>-AE276/AE292*(AF$3/AE$3)</f>
        <v>0.044082125603864736</v>
      </c>
      <c r="AF296" s="1036">
        <f>-AF276/AF292</f>
        <v>0.039017521997941465</v>
      </c>
      <c r="AG296" s="54">
        <f>-AG276/AG292*(AK$3/AG$3)</f>
        <v>0.040510543840177583</v>
      </c>
      <c r="AH296" s="54">
        <f>-AH276/AH292*(AK$3/AH$3)</f>
        <v>0.035456256450731589</v>
      </c>
      <c r="AI296" s="54">
        <f>-AI276/AI292*(AK$3/AI$3)</f>
        <v>0.039281102023245806</v>
      </c>
      <c r="AJ296" s="54">
        <f>-AJ276/AJ292*(AK$3/AJ$3)</f>
        <v>0.034744532495656934</v>
      </c>
      <c r="AK296" s="1036">
        <f>-AK276/AK292</f>
        <v>0.037479425577216376</v>
      </c>
      <c r="AL296" s="54">
        <f>-AL276/AL292*(AP$3/AL$3)</f>
        <v>0.040399332810047095</v>
      </c>
      <c r="AM296" s="54">
        <f>-AM276/AM292*(AP$3/AM$3)</f>
        <v>0.041063870899378553</v>
      </c>
      <c r="AN296" s="54">
        <f>-AN276/AN292*(AP$3/AN$3)</f>
        <v>0.036560697250455756</v>
      </c>
      <c r="AO296" s="54">
        <f>-AO276/AO292*(AP$3/AO$3)</f>
        <v>0.03253250711093051</v>
      </c>
      <c r="AP296" s="1036">
        <f>-AP276/AP292</f>
        <v>0.0376742292737932</v>
      </c>
      <c r="AQ296" s="221"/>
      <c r="AR296" s="221"/>
      <c r="AS296" s="221"/>
      <c r="AT296" s="221"/>
      <c r="AU296" s="1035"/>
      <c r="AV296" s="221"/>
      <c r="AW296" s="221"/>
      <c r="AX296" s="221"/>
      <c r="AY296" s="221"/>
      <c r="AZ296" s="1035"/>
      <c r="BA296" s="221"/>
      <c r="BB296" s="221"/>
      <c r="BC296" s="221"/>
      <c r="BD296" s="221"/>
      <c r="BE296" s="1035"/>
      <c r="BF296" s="221"/>
      <c r="BG296" s="221"/>
      <c r="BH296" s="757"/>
      <c r="BI296" s="221"/>
      <c r="BJ296" s="1035"/>
      <c r="BK296" s="221"/>
      <c r="BL296" s="221"/>
      <c r="BM296" s="221"/>
      <c r="BN296" s="221"/>
      <c r="BO296" s="1035"/>
      <c r="BP296" s="1035"/>
      <c r="BQ296" s="1035"/>
      <c r="BR296" s="1035"/>
      <c r="BS296" s="54"/>
    </row>
    <row r="297" spans="1:71" s="32" customFormat="1" ht="15" hidden="1" outlineLevel="1">
      <c r="A297" s="41" t="s">
        <v>598</v>
      </c>
      <c r="B297" s="234"/>
      <c r="C297" s="1035"/>
      <c r="D297" s="1035"/>
      <c r="E297" s="1035"/>
      <c r="F297" s="1035"/>
      <c r="G297" s="1035"/>
      <c r="H297" s="221"/>
      <c r="I297" s="221"/>
      <c r="J297" s="221"/>
      <c r="K297" s="221"/>
      <c r="L297" s="1035"/>
      <c r="M297" s="221"/>
      <c r="N297" s="221"/>
      <c r="O297" s="221"/>
      <c r="P297" s="221"/>
      <c r="Q297" s="1035"/>
      <c r="R297" s="221"/>
      <c r="S297" s="221"/>
      <c r="T297" s="221"/>
      <c r="U297" s="221"/>
      <c r="V297" s="1035"/>
      <c r="W297" s="54">
        <f>-W277/W292*(AA$3/W$3)</f>
        <v>0.18831005410846857</v>
      </c>
      <c r="X297" s="54">
        <f>-X277/X292*(AA$3/X$3)</f>
        <v>0.14914099984522519</v>
      </c>
      <c r="Y297" s="54">
        <f>-Y277/Y292*(AA$3/Y$3)</f>
        <v>0.13842333194685719</v>
      </c>
      <c r="Z297" s="54">
        <f>-Z277/Z292*(AA$3/Z$3)</f>
        <v>0.16521494458173278</v>
      </c>
      <c r="AA297" s="1036">
        <f t="shared" si="1010" ref="AA297:AK297">-AA277/AA292</f>
        <v>0.16010923137992658</v>
      </c>
      <c r="AB297" s="54">
        <f>-AB277/AB292*(AF$3/AB$3)</f>
        <v>0.18651461332336261</v>
      </c>
      <c r="AC297" s="54">
        <f>-AC277/AC292*(AF$3/AC$3)</f>
        <v>0.16115580847723707</v>
      </c>
      <c r="AD297" s="54">
        <f>-AD277/AD292*(AF$3/AD$3)</f>
        <v>0.11454988774352412</v>
      </c>
      <c r="AE297" s="54">
        <f>-AE277/AE292*(AF$3/AE$3)</f>
        <v>0.18514492753623191</v>
      </c>
      <c r="AF297" s="1036">
        <f t="shared" si="1010"/>
        <v>0.16164401970575748</v>
      </c>
      <c r="AG297" s="54">
        <f>-AG277/AG292*(AK$3/AG$3)</f>
        <v>0.19355037612529288</v>
      </c>
      <c r="AH297" s="54">
        <f>-AH277/AH292*(AK$3/AH$3)</f>
        <v>0.15512112197195069</v>
      </c>
      <c r="AI297" s="54">
        <f>-AI277/AI292*(AK$3/AI$3)</f>
        <v>0.14403070741856797</v>
      </c>
      <c r="AJ297" s="54">
        <f>-AJ277/AJ292*(AK$3/AJ$3)</f>
        <v>0.21715332809785584</v>
      </c>
      <c r="AK297" s="1036">
        <f t="shared" si="1010"/>
        <v>0.17747610346858342</v>
      </c>
      <c r="AL297" s="54">
        <f>-AL277/AL292*(AP$3/AL$3)</f>
        <v>0.20199666405023547</v>
      </c>
      <c r="AM297" s="54">
        <f>-AM277/AM292*(AP$3/AM$3)</f>
        <v>0.15969283127536105</v>
      </c>
      <c r="AN297" s="54">
        <f>-AN277/AN292*(AP$3/AN$3)</f>
        <v>0.26963514222211121</v>
      </c>
      <c r="AO297" s="54">
        <f>-AO277/AO292*(AP$3/AO$3)</f>
        <v>0.17660503860219423</v>
      </c>
      <c r="AP297" s="1036">
        <f t="shared" si="1011" ref="AP297">-AP277/AP292</f>
        <v>0.20207086610489081</v>
      </c>
      <c r="AQ297" s="221"/>
      <c r="AR297" s="221"/>
      <c r="AS297" s="221"/>
      <c r="AT297" s="221"/>
      <c r="AU297" s="1035"/>
      <c r="AV297" s="221"/>
      <c r="AW297" s="221"/>
      <c r="AX297" s="221"/>
      <c r="AY297" s="221"/>
      <c r="AZ297" s="1035"/>
      <c r="BA297" s="221"/>
      <c r="BB297" s="221"/>
      <c r="BC297" s="221"/>
      <c r="BD297" s="221"/>
      <c r="BE297" s="1035"/>
      <c r="BF297" s="221"/>
      <c r="BG297" s="221"/>
      <c r="BH297" s="757"/>
      <c r="BI297" s="221"/>
      <c r="BJ297" s="1035"/>
      <c r="BK297" s="221"/>
      <c r="BL297" s="221"/>
      <c r="BM297" s="221"/>
      <c r="BN297" s="221"/>
      <c r="BO297" s="1035"/>
      <c r="BP297" s="1035"/>
      <c r="BQ297" s="1035"/>
      <c r="BR297" s="1035"/>
      <c r="BS297" s="54"/>
    </row>
    <row r="298" spans="1:71" s="32" customFormat="1" ht="15" hidden="1" outlineLevel="1">
      <c r="A298" s="220"/>
      <c r="B298" s="234"/>
      <c r="C298" s="1035"/>
      <c r="D298" s="1035"/>
      <c r="E298" s="1035"/>
      <c r="F298" s="1035"/>
      <c r="G298" s="1035"/>
      <c r="H298" s="221"/>
      <c r="I298" s="221"/>
      <c r="J298" s="221"/>
      <c r="K298" s="221"/>
      <c r="L298" s="1035"/>
      <c r="M298" s="221"/>
      <c r="N298" s="221"/>
      <c r="O298" s="221"/>
      <c r="P298" s="221"/>
      <c r="Q298" s="1035"/>
      <c r="R298" s="221"/>
      <c r="S298" s="221"/>
      <c r="T298" s="221"/>
      <c r="U298" s="221"/>
      <c r="V298" s="1035"/>
      <c r="W298" s="221"/>
      <c r="X298" s="221"/>
      <c r="Y298" s="221"/>
      <c r="Z298" s="221"/>
      <c r="AA298" s="1035"/>
      <c r="AB298" s="221"/>
      <c r="AC298" s="221"/>
      <c r="AD298" s="221"/>
      <c r="AE298" s="221"/>
      <c r="AF298" s="1035"/>
      <c r="AG298" s="221"/>
      <c r="AH298" s="221"/>
      <c r="AI298" s="221"/>
      <c r="AJ298" s="221"/>
      <c r="AK298" s="1035"/>
      <c r="AL298" s="221"/>
      <c r="AM298" s="221"/>
      <c r="AN298" s="221"/>
      <c r="AO298" s="221"/>
      <c r="AP298" s="1035"/>
      <c r="AQ298" s="221"/>
      <c r="AR298" s="221"/>
      <c r="AS298" s="221"/>
      <c r="AT298" s="221"/>
      <c r="AU298" s="1035"/>
      <c r="AV298" s="221"/>
      <c r="AW298" s="221"/>
      <c r="AX298" s="221"/>
      <c r="AY298" s="221"/>
      <c r="AZ298" s="1035"/>
      <c r="BA298" s="221"/>
      <c r="BB298" s="221"/>
      <c r="BC298" s="221"/>
      <c r="BD298" s="221"/>
      <c r="BE298" s="1035"/>
      <c r="BF298" s="221"/>
      <c r="BG298" s="221"/>
      <c r="BH298" s="757"/>
      <c r="BI298" s="221"/>
      <c r="BJ298" s="1035"/>
      <c r="BK298" s="221"/>
      <c r="BL298" s="221"/>
      <c r="BM298" s="221"/>
      <c r="BN298" s="221"/>
      <c r="BO298" s="1035"/>
      <c r="BP298" s="1035"/>
      <c r="BQ298" s="1035"/>
      <c r="BR298" s="1035"/>
      <c r="BS298" s="54"/>
    </row>
    <row r="299" spans="1:71" s="51" customFormat="1" ht="15" collapsed="1">
      <c r="A299" s="109" t="s">
        <v>742</v>
      </c>
      <c r="B299" s="391"/>
      <c r="C299" s="1000"/>
      <c r="D299" s="1000"/>
      <c r="E299" s="1000"/>
      <c r="F299" s="1000"/>
      <c r="G299" s="1000"/>
      <c r="H299" s="128"/>
      <c r="I299" s="128"/>
      <c r="J299" s="128"/>
      <c r="K299" s="128"/>
      <c r="L299" s="1000"/>
      <c r="M299" s="128"/>
      <c r="N299" s="128"/>
      <c r="O299" s="128"/>
      <c r="P299" s="128"/>
      <c r="Q299" s="1000"/>
      <c r="R299" s="128"/>
      <c r="S299" s="128"/>
      <c r="T299" s="128"/>
      <c r="U299" s="128"/>
      <c r="V299" s="1000"/>
      <c r="W299" s="128"/>
      <c r="X299" s="128"/>
      <c r="Y299" s="128"/>
      <c r="Z299" s="128"/>
      <c r="AA299" s="1000"/>
      <c r="AB299" s="57">
        <f>AA301</f>
        <v>1776</v>
      </c>
      <c r="AC299" s="57">
        <f>AB301</f>
        <v>1785</v>
      </c>
      <c r="AD299" s="57">
        <f t="shared" si="1012" ref="AD299:AE299">AC301</f>
        <v>1792</v>
      </c>
      <c r="AE299" s="57">
        <f t="shared" si="1012"/>
        <v>1831</v>
      </c>
      <c r="AF299" s="999">
        <f>AA301</f>
        <v>1776</v>
      </c>
      <c r="AG299" s="57">
        <f>AF301</f>
        <v>1809</v>
      </c>
      <c r="AH299" s="57">
        <f>AG301</f>
        <v>1900</v>
      </c>
      <c r="AI299" s="57">
        <f t="shared" si="1013" ref="AI299:AJ299">AH301</f>
        <v>1949</v>
      </c>
      <c r="AJ299" s="57">
        <f t="shared" si="1013"/>
        <v>2011</v>
      </c>
      <c r="AK299" s="999">
        <f>AF301</f>
        <v>1809</v>
      </c>
      <c r="AL299" s="57">
        <f>AK301</f>
        <v>1941</v>
      </c>
      <c r="AM299" s="57">
        <f>AL301</f>
        <v>1867</v>
      </c>
      <c r="AN299" s="57">
        <f>AM301</f>
        <v>2029</v>
      </c>
      <c r="AO299" s="57">
        <f t="shared" si="1014" ref="AO299">AN301</f>
        <v>2040</v>
      </c>
      <c r="AP299" s="999">
        <f>AK301</f>
        <v>1941</v>
      </c>
      <c r="AQ299" s="57">
        <f>AP301</f>
        <v>2012</v>
      </c>
      <c r="AR299" s="57">
        <f>AQ301</f>
        <v>2156</v>
      </c>
      <c r="AS299" s="57">
        <f>AR301</f>
        <v>2235</v>
      </c>
      <c r="AT299" s="57">
        <f>AS301</f>
        <v>2175</v>
      </c>
      <c r="AU299" s="999">
        <f>AP301</f>
        <v>2012</v>
      </c>
      <c r="AV299" s="57">
        <f>AU301</f>
        <v>2191</v>
      </c>
      <c r="AW299" s="57">
        <f>AV301</f>
        <v>2096</v>
      </c>
      <c r="AX299" s="57">
        <f>AW301</f>
        <v>2012</v>
      </c>
      <c r="AY299" s="57">
        <f>AX301</f>
        <v>1902</v>
      </c>
      <c r="AZ299" s="999">
        <f>AU301</f>
        <v>2191</v>
      </c>
      <c r="BA299" s="57">
        <f>AZ301</f>
        <v>1872</v>
      </c>
      <c r="BB299" s="57">
        <f>BA301</f>
        <v>1941</v>
      </c>
      <c r="BC299" s="57">
        <f>BB301</f>
        <v>1978</v>
      </c>
      <c r="BD299" s="57">
        <f>BC301</f>
        <v>1918</v>
      </c>
      <c r="BE299" s="999">
        <f>AZ301</f>
        <v>1872</v>
      </c>
      <c r="BF299" s="57">
        <f>BE301</f>
        <v>2182</v>
      </c>
      <c r="BG299" s="57">
        <f>BF301</f>
        <v>2171</v>
      </c>
      <c r="BH299" s="745">
        <f>BG301</f>
        <v>2241</v>
      </c>
      <c r="BI299" s="128">
        <f>BH301</f>
        <v>496</v>
      </c>
      <c r="BJ299" s="1000">
        <f>BE301</f>
        <v>2182</v>
      </c>
      <c r="BK299" s="128">
        <f>BJ301</f>
        <v>2225.64</v>
      </c>
      <c r="BL299" s="128">
        <f>BK301</f>
        <v>2214.42</v>
      </c>
      <c r="BM299" s="128">
        <f>BL301</f>
        <v>2285.8200000000002</v>
      </c>
      <c r="BN299" s="128">
        <f>BM301</f>
        <v>505.92</v>
      </c>
      <c r="BO299" s="1000">
        <f>BJ301</f>
        <v>2225.64</v>
      </c>
      <c r="BP299" s="1000">
        <f>BO301</f>
        <v>2270.1527999999998</v>
      </c>
      <c r="BQ299" s="1000">
        <f>BP301</f>
        <v>2315.5558559999999</v>
      </c>
      <c r="BR299" s="1000">
        <f>BQ301</f>
        <v>2361.8669731199998</v>
      </c>
      <c r="BS299" s="57"/>
    </row>
    <row r="300" spans="1:71" s="300" customFormat="1" ht="15">
      <c r="A300" s="110" t="s">
        <v>743</v>
      </c>
      <c r="B300" s="113"/>
      <c r="C300" s="995"/>
      <c r="D300" s="995"/>
      <c r="E300" s="995"/>
      <c r="F300" s="995"/>
      <c r="G300" s="995"/>
      <c r="H300" s="115"/>
      <c r="I300" s="115"/>
      <c r="J300" s="115"/>
      <c r="K300" s="115"/>
      <c r="L300" s="995"/>
      <c r="M300" s="115"/>
      <c r="N300" s="115"/>
      <c r="O300" s="115"/>
      <c r="P300" s="115"/>
      <c r="Q300" s="995"/>
      <c r="R300" s="115"/>
      <c r="S300" s="115"/>
      <c r="T300" s="115"/>
      <c r="U300" s="115"/>
      <c r="V300" s="995"/>
      <c r="W300" s="115"/>
      <c r="X300" s="115"/>
      <c r="Y300" s="115"/>
      <c r="Z300" s="115"/>
      <c r="AA300" s="995"/>
      <c r="AB300" s="58">
        <f t="shared" si="1015" ref="AB300">AB301-AB299</f>
        <v>9</v>
      </c>
      <c r="AC300" s="58">
        <f t="shared" si="1016" ref="AC300">AC301-AC299</f>
        <v>7</v>
      </c>
      <c r="AD300" s="58">
        <f t="shared" si="1017" ref="AD300">AD301-AD299</f>
        <v>39</v>
      </c>
      <c r="AE300" s="58">
        <f t="shared" si="1018" ref="AE300">AE301-AE299</f>
        <v>-22</v>
      </c>
      <c r="AF300" s="998">
        <f t="shared" si="1019" ref="AF300">AF301-AF299</f>
        <v>33</v>
      </c>
      <c r="AG300" s="58">
        <f t="shared" si="1020" ref="AG300">AG301-AG299</f>
        <v>91</v>
      </c>
      <c r="AH300" s="58">
        <f t="shared" si="1021" ref="AH300">AH301-AH299</f>
        <v>49</v>
      </c>
      <c r="AI300" s="58">
        <f t="shared" si="1022" ref="AI300">AI301-AI299</f>
        <v>62</v>
      </c>
      <c r="AJ300" s="58">
        <f t="shared" si="1023" ref="AJ300">AJ301-AJ299</f>
        <v>-70</v>
      </c>
      <c r="AK300" s="998">
        <f t="shared" si="1024" ref="AK300">AK301-AK299</f>
        <v>132</v>
      </c>
      <c r="AL300" s="58">
        <f>AL301-AL299</f>
        <v>-74</v>
      </c>
      <c r="AM300" s="58">
        <f>AM301-AM299</f>
        <v>162</v>
      </c>
      <c r="AN300" s="58">
        <f>AN301-AN299</f>
        <v>11</v>
      </c>
      <c r="AO300" s="58">
        <f t="shared" si="1025" ref="AO300:AP300">AO301-AO299</f>
        <v>-28</v>
      </c>
      <c r="AP300" s="998">
        <f t="shared" si="1025"/>
        <v>71</v>
      </c>
      <c r="AQ300" s="58">
        <f t="shared" si="1026" ref="AQ300:AV300">AQ301-AQ299</f>
        <v>144</v>
      </c>
      <c r="AR300" s="58">
        <f t="shared" si="1026"/>
        <v>79</v>
      </c>
      <c r="AS300" s="58">
        <f t="shared" si="1026"/>
        <v>-60</v>
      </c>
      <c r="AT300" s="58">
        <f t="shared" si="1026"/>
        <v>16</v>
      </c>
      <c r="AU300" s="998">
        <f t="shared" si="1026"/>
        <v>179</v>
      </c>
      <c r="AV300" s="58">
        <f t="shared" si="1026"/>
        <v>-95</v>
      </c>
      <c r="AW300" s="58">
        <f t="shared" si="1027" ref="AW300:BJ300">AW301-AW299</f>
        <v>-84</v>
      </c>
      <c r="AX300" s="58">
        <f t="shared" si="1027"/>
        <v>-110</v>
      </c>
      <c r="AY300" s="58">
        <f t="shared" si="1027"/>
        <v>-30</v>
      </c>
      <c r="AZ300" s="998">
        <f t="shared" si="1027"/>
        <v>-319</v>
      </c>
      <c r="BA300" s="58">
        <f t="shared" si="1028" ref="BA300:BI300">BA301-BA299</f>
        <v>69</v>
      </c>
      <c r="BB300" s="58">
        <f t="shared" si="1028"/>
        <v>37</v>
      </c>
      <c r="BC300" s="58">
        <f t="shared" si="1028"/>
        <v>-60</v>
      </c>
      <c r="BD300" s="58">
        <f t="shared" si="1028"/>
        <v>264</v>
      </c>
      <c r="BE300" s="993">
        <f t="shared" si="1028"/>
        <v>310</v>
      </c>
      <c r="BF300" s="58">
        <f>BF301-BF299</f>
        <v>-11</v>
      </c>
      <c r="BG300" s="58">
        <f>BG301-BG299</f>
        <v>70</v>
      </c>
      <c r="BH300" s="744">
        <f>BH301-BH299</f>
        <v>-1745</v>
      </c>
      <c r="BI300" s="115">
        <f t="shared" si="1028"/>
        <v>1729.64</v>
      </c>
      <c r="BJ300" s="995">
        <f t="shared" si="1027"/>
        <v>43.639999999999873</v>
      </c>
      <c r="BK300" s="115">
        <f t="shared" si="1029" ref="BK300:BR300">BK301-BK299</f>
        <v>-11.2199999999998</v>
      </c>
      <c r="BL300" s="115">
        <f t="shared" si="1029"/>
        <v>71.400000000000091</v>
      </c>
      <c r="BM300" s="115">
        <f t="shared" si="1029"/>
        <v>-1779.90</v>
      </c>
      <c r="BN300" s="115">
        <f t="shared" si="1029"/>
        <v>1764.2327999999998</v>
      </c>
      <c r="BO300" s="995">
        <f t="shared" si="1029"/>
        <v>44.51279999999997</v>
      </c>
      <c r="BP300" s="995">
        <f t="shared" si="1029"/>
        <v>45.403056000000106</v>
      </c>
      <c r="BQ300" s="995">
        <f t="shared" si="1029"/>
        <v>46.311117119999835</v>
      </c>
      <c r="BR300" s="995">
        <f t="shared" si="1029"/>
        <v>47.237339462400087</v>
      </c>
      <c r="BS300" s="305"/>
    </row>
    <row r="301" spans="1:71" s="51" customFormat="1" ht="15">
      <c r="A301" s="480" t="s">
        <v>744</v>
      </c>
      <c r="B301" s="391"/>
      <c r="C301" s="1000"/>
      <c r="D301" s="1000"/>
      <c r="E301" s="1000"/>
      <c r="F301" s="1000"/>
      <c r="G301" s="1000"/>
      <c r="H301" s="128"/>
      <c r="I301" s="128"/>
      <c r="J301" s="128"/>
      <c r="K301" s="128"/>
      <c r="L301" s="1000"/>
      <c r="M301" s="128"/>
      <c r="N301" s="128"/>
      <c r="O301" s="128"/>
      <c r="P301" s="128"/>
      <c r="Q301" s="1000"/>
      <c r="R301" s="128"/>
      <c r="S301" s="128"/>
      <c r="T301" s="128"/>
      <c r="U301" s="128"/>
      <c r="V301" s="1000"/>
      <c r="W301" s="128"/>
      <c r="X301" s="128"/>
      <c r="Y301" s="128"/>
      <c r="Z301" s="128"/>
      <c r="AA301" s="1031">
        <v>1776</v>
      </c>
      <c r="AB301" s="922">
        <v>1785</v>
      </c>
      <c r="AC301" s="922">
        <v>1792</v>
      </c>
      <c r="AD301" s="922">
        <v>1831</v>
      </c>
      <c r="AE301" s="128">
        <f>AF301</f>
        <v>1809</v>
      </c>
      <c r="AF301" s="1031">
        <v>1809</v>
      </c>
      <c r="AG301" s="922">
        <v>1900</v>
      </c>
      <c r="AH301" s="922">
        <v>1949</v>
      </c>
      <c r="AI301" s="922">
        <v>2011</v>
      </c>
      <c r="AJ301" s="128">
        <f>AK301</f>
        <v>1941</v>
      </c>
      <c r="AK301" s="1031">
        <v>1941</v>
      </c>
      <c r="AL301" s="922">
        <v>1867</v>
      </c>
      <c r="AM301" s="922">
        <v>2029</v>
      </c>
      <c r="AN301" s="922">
        <v>2040</v>
      </c>
      <c r="AO301" s="128">
        <f>AP301</f>
        <v>2012</v>
      </c>
      <c r="AP301" s="1031">
        <v>2012</v>
      </c>
      <c r="AQ301" s="922">
        <v>2156</v>
      </c>
      <c r="AR301" s="922">
        <v>2235</v>
      </c>
      <c r="AS301" s="922">
        <v>2175</v>
      </c>
      <c r="AT301" s="128">
        <f>AU301</f>
        <v>2191</v>
      </c>
      <c r="AU301" s="1031">
        <v>2191</v>
      </c>
      <c r="AV301" s="922">
        <v>2096</v>
      </c>
      <c r="AW301" s="922">
        <v>2012</v>
      </c>
      <c r="AX301" s="922">
        <v>1902</v>
      </c>
      <c r="AY301" s="128">
        <f>AZ301</f>
        <v>1872</v>
      </c>
      <c r="AZ301" s="1031">
        <v>1872</v>
      </c>
      <c r="BA301" s="922">
        <v>1941</v>
      </c>
      <c r="BB301" s="922">
        <v>1978</v>
      </c>
      <c r="BC301" s="922">
        <v>1918</v>
      </c>
      <c r="BD301" s="128">
        <f>BE301</f>
        <v>2182</v>
      </c>
      <c r="BE301" s="1032">
        <v>2182</v>
      </c>
      <c r="BF301" s="922">
        <v>2171</v>
      </c>
      <c r="BG301" s="922">
        <v>2241</v>
      </c>
      <c r="BH301" s="924">
        <v>496</v>
      </c>
      <c r="BI301" s="128">
        <f>BD301*(1+BI303)</f>
        <v>2225.64</v>
      </c>
      <c r="BJ301" s="1000">
        <f>BI301</f>
        <v>2225.64</v>
      </c>
      <c r="BK301" s="128">
        <f>BF301*(1+BK303)</f>
        <v>2214.42</v>
      </c>
      <c r="BL301" s="128">
        <f>BG301*(1+BL303)</f>
        <v>2285.8200000000002</v>
      </c>
      <c r="BM301" s="128">
        <f>BH301*(1+BM303)</f>
        <v>505.92</v>
      </c>
      <c r="BN301" s="128">
        <f>BI301*(1+BN303)</f>
        <v>2270.1527999999998</v>
      </c>
      <c r="BO301" s="1000">
        <f>BN301</f>
        <v>2270.1527999999998</v>
      </c>
      <c r="BP301" s="1000">
        <f>BO301*(1+BP303)</f>
        <v>2315.5558559999999</v>
      </c>
      <c r="BQ301" s="1000">
        <f>BP301*(1+BQ303)</f>
        <v>2361.8669731199998</v>
      </c>
      <c r="BR301" s="1000">
        <f>BQ301*(1+BR303)</f>
        <v>2409.1043125823999</v>
      </c>
      <c r="BS301" s="57"/>
    </row>
    <row r="302" spans="1:71" s="51" customFormat="1" ht="15">
      <c r="A302" s="109" t="s">
        <v>745</v>
      </c>
      <c r="B302" s="391"/>
      <c r="C302" s="1000"/>
      <c r="D302" s="1000"/>
      <c r="E302" s="1000"/>
      <c r="F302" s="1000"/>
      <c r="G302" s="1000"/>
      <c r="H302" s="128"/>
      <c r="I302" s="128"/>
      <c r="J302" s="128"/>
      <c r="K302" s="128"/>
      <c r="L302" s="1000"/>
      <c r="M302" s="128"/>
      <c r="N302" s="128"/>
      <c r="O302" s="128"/>
      <c r="P302" s="128"/>
      <c r="Q302" s="1000"/>
      <c r="R302" s="128"/>
      <c r="S302" s="128"/>
      <c r="T302" s="128"/>
      <c r="U302" s="128"/>
      <c r="V302" s="1000"/>
      <c r="W302" s="128"/>
      <c r="X302" s="128"/>
      <c r="Y302" s="128"/>
      <c r="Z302" s="128"/>
      <c r="AA302" s="1000"/>
      <c r="AB302" s="57">
        <f t="shared" si="1030" ref="AB302">AVERAGE(AA301,AB301)</f>
        <v>1780.50</v>
      </c>
      <c r="AC302" s="57">
        <f t="shared" si="1031" ref="AC302">AVERAGE(AB301,AC301)</f>
        <v>1788.50</v>
      </c>
      <c r="AD302" s="57">
        <f t="shared" si="1032" ref="AD302">AVERAGE(AC301,AD301)</f>
        <v>1811.50</v>
      </c>
      <c r="AE302" s="57">
        <f t="shared" si="1033" ref="AE302">AVERAGE(AD301,AE301)</f>
        <v>1820</v>
      </c>
      <c r="AF302" s="999">
        <f>SUM(AB302*AB$3,AC302*AC$3,AD302*AD$3,AE302*AE$3)/SUM(AB$3,AC$3,AD$3,AE$3)</f>
        <v>1800.2643835616439</v>
      </c>
      <c r="AG302" s="57">
        <f t="shared" si="1034" ref="AG302">AVERAGE(AF301,AG301)</f>
        <v>1854.50</v>
      </c>
      <c r="AH302" s="57">
        <f t="shared" si="1035" ref="AH302">AVERAGE(AG301,AH301)</f>
        <v>1924.50</v>
      </c>
      <c r="AI302" s="57">
        <f t="shared" si="1036" ref="AI302">AVERAGE(AH301,AI301)</f>
        <v>1980</v>
      </c>
      <c r="AJ302" s="57">
        <f t="shared" si="1037" ref="AJ302">AVERAGE(AI301,AJ301)</f>
        <v>1976</v>
      </c>
      <c r="AK302" s="999">
        <f>SUM(AG302*AG$3,AH302*AH$3,AI302*AI$3,AJ302*AJ$3)/SUM(AG$3,AH$3,AI$3,AJ$3)</f>
        <v>1934.2095890410958</v>
      </c>
      <c r="AL302" s="57">
        <f t="shared" si="1038" ref="AL302">AVERAGE(AK301,AL301)</f>
        <v>1904</v>
      </c>
      <c r="AM302" s="57">
        <f>AVERAGE(AL301,AM301)</f>
        <v>1948</v>
      </c>
      <c r="AN302" s="57">
        <f>AVERAGE(AM301,AN301)</f>
        <v>2034.50</v>
      </c>
      <c r="AO302" s="57">
        <f t="shared" si="1039" ref="AO302">AVERAGE(AN301,AO301)</f>
        <v>2026</v>
      </c>
      <c r="AP302" s="999">
        <f>SUM(AL302*AL$3,AM302*AM$3,AN302*AN$3,AO302*AO$3)/SUM(AL$3,AM$3,AN$3,AO$3)</f>
        <v>1978.4098360655737</v>
      </c>
      <c r="AQ302" s="57">
        <f>AVERAGE(AP301,AQ301)</f>
        <v>2084</v>
      </c>
      <c r="AR302" s="57">
        <f>AVERAGE(AQ301,AR301)</f>
        <v>2195.50</v>
      </c>
      <c r="AS302" s="57">
        <f>AVERAGE(AR301,AS301)</f>
        <v>2205</v>
      </c>
      <c r="AT302" s="57">
        <f>AVERAGE(AS301,AT301)</f>
        <v>2183</v>
      </c>
      <c r="AU302" s="999">
        <f>SUM(AQ302*AQ$3,AR302*AR$3,AS302*AS$3,AT302*AT$3)/SUM(AQ$3,AR$3,AS$3,AT$3)</f>
        <v>2167.2506849315068</v>
      </c>
      <c r="AV302" s="57">
        <f>AVERAGE(AU301,AV301)</f>
        <v>2143.50</v>
      </c>
      <c r="AW302" s="57">
        <f>AVERAGE(AV301,AW301)</f>
        <v>2054</v>
      </c>
      <c r="AX302" s="57">
        <f>AVERAGE(AW301,AX301)</f>
        <v>1957</v>
      </c>
      <c r="AY302" s="57">
        <f>AVERAGE(AX301,AY301)</f>
        <v>1887</v>
      </c>
      <c r="AZ302" s="999">
        <f>SUM(AV302*AV$3,AW302*AW$3,AX302*AX$3,AY302*AY$3)/SUM(AV$3,AW$3,AX$3,AY$3)</f>
        <v>2009.5260273972603</v>
      </c>
      <c r="BA302" s="57">
        <f>AVERAGE(AZ301,BA301)</f>
        <v>1906.50</v>
      </c>
      <c r="BB302" s="57">
        <f>AVERAGE(BA301,BB301)</f>
        <v>1959.50</v>
      </c>
      <c r="BC302" s="57">
        <f>AVERAGE(BB301,BC301)</f>
        <v>1948</v>
      </c>
      <c r="BD302" s="57">
        <f>AVERAGE(BC301,BD301)</f>
        <v>2050</v>
      </c>
      <c r="BE302" s="999">
        <f>SUM(BA302*BA$3,BB302*BB$3,BC302*BC$3,BD302*BD$3)/SUM(BA$3,BB$3,BC$3,BD$3)</f>
        <v>1966.3438356164384</v>
      </c>
      <c r="BF302" s="57">
        <f>AVERAGE(BE301,BF301)</f>
        <v>2176.50</v>
      </c>
      <c r="BG302" s="57">
        <f>AVERAGE(BF301,BG301)</f>
        <v>2206</v>
      </c>
      <c r="BH302" s="745">
        <f>AVERAGE(BG301,BH301)</f>
        <v>1368.50</v>
      </c>
      <c r="BI302" s="128">
        <f>AVERAGE(BH301,BI301)</f>
        <v>1360.82</v>
      </c>
      <c r="BJ302" s="1000">
        <f>SUM(BF302*BF$3,BG302*BG$3,BH302*BH$3,BI302*BI$3)/SUM(BF$3,BG$3,BH$3,BI$3)</f>
        <v>1775.696557377049</v>
      </c>
      <c r="BK302" s="128">
        <f>AVERAGE(BJ301,BK301)</f>
        <v>2220.0299999999997</v>
      </c>
      <c r="BL302" s="128">
        <f>AVERAGE(BK301,BL301)</f>
        <v>2250.12</v>
      </c>
      <c r="BM302" s="128">
        <f>AVERAGE(BL301,BM301)</f>
        <v>1395.87</v>
      </c>
      <c r="BN302" s="128">
        <f>AVERAGE(BM301,BN301)</f>
        <v>1388.0364</v>
      </c>
      <c r="BO302" s="1000">
        <f>SUM(BK302*BK$3,BL302*BL$3,BM302*BM$3,BN302*BN$3)/SUM(BK$3,BL$3,BM$3,BN$3)</f>
        <v>1810.0904350684934</v>
      </c>
      <c r="BP302" s="1000">
        <f>AVERAGE(BO301,BP301)</f>
        <v>2292.8543279999999</v>
      </c>
      <c r="BQ302" s="1000">
        <f>AVERAGE(BP301,BQ301)</f>
        <v>2338.7114145599999</v>
      </c>
      <c r="BR302" s="1000">
        <f>AVERAGE(BQ301,BR301)</f>
        <v>2385.4856428511998</v>
      </c>
      <c r="BS302" s="57"/>
    </row>
    <row r="303" spans="1:71" s="29" customFormat="1" ht="15">
      <c r="A303" s="42" t="s">
        <v>746</v>
      </c>
      <c r="B303" s="232"/>
      <c r="C303" s="1025"/>
      <c r="D303" s="1025"/>
      <c r="E303" s="1025"/>
      <c r="F303" s="1025"/>
      <c r="G303" s="1025"/>
      <c r="H303" s="650"/>
      <c r="I303" s="650"/>
      <c r="J303" s="650"/>
      <c r="K303" s="650"/>
      <c r="L303" s="1025"/>
      <c r="M303" s="650"/>
      <c r="N303" s="650"/>
      <c r="O303" s="650"/>
      <c r="P303" s="650"/>
      <c r="Q303" s="1025"/>
      <c r="R303" s="650"/>
      <c r="S303" s="650"/>
      <c r="T303" s="650"/>
      <c r="U303" s="650"/>
      <c r="V303" s="1025"/>
      <c r="W303" s="650"/>
      <c r="X303" s="650"/>
      <c r="Y303" s="650"/>
      <c r="Z303" s="650"/>
      <c r="AA303" s="1025"/>
      <c r="AB303" s="650"/>
      <c r="AC303" s="650"/>
      <c r="AD303" s="650"/>
      <c r="AE303" s="650"/>
      <c r="AF303" s="1033">
        <f t="shared" si="1040" ref="AF303:AK303">AF301/AA301-1</f>
        <v>0.018581081081081141</v>
      </c>
      <c r="AG303" s="649">
        <f t="shared" si="1040"/>
        <v>0.064425770308123242</v>
      </c>
      <c r="AH303" s="649">
        <f t="shared" si="1040"/>
        <v>0.087611607142857206</v>
      </c>
      <c r="AI303" s="649">
        <f t="shared" si="1040"/>
        <v>0.098306936100491571</v>
      </c>
      <c r="AJ303" s="649">
        <f t="shared" si="1040"/>
        <v>0.07296849087893853</v>
      </c>
      <c r="AK303" s="1033">
        <f t="shared" si="1040"/>
        <v>0.07296849087893853</v>
      </c>
      <c r="AL303" s="649">
        <f>AL301/AG301-1</f>
        <v>-0.017368421052631589</v>
      </c>
      <c r="AM303" s="649">
        <f>AM301/AH301-1</f>
        <v>0.041046690610569536</v>
      </c>
      <c r="AN303" s="649">
        <f>AN301/AI301-1</f>
        <v>0.014420686225758317</v>
      </c>
      <c r="AO303" s="649">
        <f t="shared" si="1041" ref="AO303:AP303">AO301/AJ301-1</f>
        <v>0.036579082946934571</v>
      </c>
      <c r="AP303" s="1033">
        <f t="shared" si="1041"/>
        <v>0.036579082946934571</v>
      </c>
      <c r="AQ303" s="649">
        <f t="shared" si="1042" ref="AQ303:AV303">AQ301/AL301-1</f>
        <v>0.15479378682378142</v>
      </c>
      <c r="AR303" s="649">
        <f t="shared" si="1042"/>
        <v>0.10152784622966982</v>
      </c>
      <c r="AS303" s="649">
        <f t="shared" si="1042"/>
        <v>0.066176470588235281</v>
      </c>
      <c r="AT303" s="649">
        <f t="shared" si="1042"/>
        <v>0.088966202783300252</v>
      </c>
      <c r="AU303" s="1033">
        <f t="shared" si="1042"/>
        <v>0.088966202783300252</v>
      </c>
      <c r="AV303" s="649">
        <f t="shared" si="1042"/>
        <v>-0.027829313543599299</v>
      </c>
      <c r="AW303" s="649">
        <f t="shared" si="1043" ref="AW303:BB303">AW301/AR301-1</f>
        <v>-0.09977628635346758</v>
      </c>
      <c r="AX303" s="649">
        <f t="shared" si="1043"/>
        <v>-0.12551724137931031</v>
      </c>
      <c r="AY303" s="649">
        <f t="shared" si="1043"/>
        <v>-0.14559561843906887</v>
      </c>
      <c r="AZ303" s="1033">
        <f t="shared" si="1043"/>
        <v>-0.14559561843906887</v>
      </c>
      <c r="BA303" s="649">
        <f t="shared" si="1043"/>
        <v>-0.073950381679389277</v>
      </c>
      <c r="BB303" s="649">
        <f t="shared" si="1043"/>
        <v>-0.016898608349900646</v>
      </c>
      <c r="BC303" s="649">
        <f t="shared" si="1044" ref="BC303:BH303">BC301/AX301-1</f>
        <v>0.0084121976866455839</v>
      </c>
      <c r="BD303" s="649">
        <f t="shared" si="1044"/>
        <v>0.16559829059829068</v>
      </c>
      <c r="BE303" s="1033">
        <f t="shared" si="1044"/>
        <v>0.16559829059829068</v>
      </c>
      <c r="BF303" s="649">
        <f t="shared" si="1044"/>
        <v>0.11849562081401332</v>
      </c>
      <c r="BG303" s="649">
        <f t="shared" si="1044"/>
        <v>0.1329625884732053</v>
      </c>
      <c r="BH303" s="753">
        <f t="shared" si="1044"/>
        <v>-0.7413972888425443</v>
      </c>
      <c r="BI303" s="925">
        <v>0.02</v>
      </c>
      <c r="BJ303" s="1025">
        <f>BJ301/BE301-1</f>
        <v>0.020000000000000018</v>
      </c>
      <c r="BK303" s="925">
        <v>0.02</v>
      </c>
      <c r="BL303" s="925">
        <v>0.02</v>
      </c>
      <c r="BM303" s="925">
        <v>0.02</v>
      </c>
      <c r="BN303" s="925">
        <v>0.02</v>
      </c>
      <c r="BO303" s="1025">
        <f>BO301/BJ301-1</f>
        <v>0.020000000000000018</v>
      </c>
      <c r="BP303" s="1034">
        <v>0.02</v>
      </c>
      <c r="BQ303" s="1034">
        <v>0.02</v>
      </c>
      <c r="BR303" s="1034">
        <v>0.02</v>
      </c>
      <c r="BS303" s="649"/>
    </row>
    <row r="304" spans="1:71" s="32" customFormat="1" ht="15">
      <c r="A304" s="220"/>
      <c r="B304" s="234"/>
      <c r="C304" s="1035"/>
      <c r="D304" s="1035"/>
      <c r="E304" s="1035"/>
      <c r="F304" s="1035"/>
      <c r="G304" s="1035"/>
      <c r="H304" s="221"/>
      <c r="I304" s="221"/>
      <c r="J304" s="221"/>
      <c r="K304" s="221"/>
      <c r="L304" s="1035"/>
      <c r="M304" s="221"/>
      <c r="N304" s="221"/>
      <c r="O304" s="221"/>
      <c r="P304" s="221"/>
      <c r="Q304" s="1035"/>
      <c r="R304" s="221"/>
      <c r="S304" s="221"/>
      <c r="T304" s="221"/>
      <c r="U304" s="221"/>
      <c r="V304" s="1035"/>
      <c r="W304" s="221"/>
      <c r="X304" s="221"/>
      <c r="Y304" s="221"/>
      <c r="Z304" s="221"/>
      <c r="AA304" s="1035"/>
      <c r="AB304" s="221"/>
      <c r="AC304" s="221"/>
      <c r="AD304" s="221"/>
      <c r="AE304" s="221"/>
      <c r="AF304" s="1035"/>
      <c r="AG304" s="221"/>
      <c r="AH304" s="221"/>
      <c r="AI304" s="221"/>
      <c r="AJ304" s="221"/>
      <c r="AK304" s="1035"/>
      <c r="AL304" s="221"/>
      <c r="AM304" s="221"/>
      <c r="AN304" s="221"/>
      <c r="AO304" s="221"/>
      <c r="AP304" s="1035"/>
      <c r="AQ304" s="221"/>
      <c r="AR304" s="221"/>
      <c r="AS304" s="221"/>
      <c r="AT304" s="221"/>
      <c r="AU304" s="1035"/>
      <c r="AV304" s="221"/>
      <c r="AW304" s="221"/>
      <c r="AX304" s="221"/>
      <c r="AY304" s="221"/>
      <c r="AZ304" s="1035"/>
      <c r="BA304" s="221"/>
      <c r="BB304" s="221"/>
      <c r="BC304" s="221"/>
      <c r="BD304" s="221"/>
      <c r="BE304" s="1035"/>
      <c r="BF304" s="221"/>
      <c r="BG304" s="221"/>
      <c r="BH304" s="757"/>
      <c r="BI304" s="221"/>
      <c r="BJ304" s="1035"/>
      <c r="BK304" s="221"/>
      <c r="BL304" s="221"/>
      <c r="BM304" s="221"/>
      <c r="BN304" s="221"/>
      <c r="BO304" s="1035"/>
      <c r="BP304" s="1035"/>
      <c r="BQ304" s="1035"/>
      <c r="BR304" s="1035"/>
      <c r="BS304" s="54"/>
    </row>
    <row r="305" spans="1:71" s="32" customFormat="1" ht="15">
      <c r="A305" s="220" t="s">
        <v>747</v>
      </c>
      <c r="B305" s="234"/>
      <c r="C305" s="1035"/>
      <c r="D305" s="1035"/>
      <c r="E305" s="1035"/>
      <c r="F305" s="1035"/>
      <c r="G305" s="1035"/>
      <c r="H305" s="221"/>
      <c r="I305" s="221"/>
      <c r="J305" s="221"/>
      <c r="K305" s="221"/>
      <c r="L305" s="1035"/>
      <c r="M305" s="221"/>
      <c r="N305" s="221"/>
      <c r="O305" s="221"/>
      <c r="P305" s="221"/>
      <c r="Q305" s="1035"/>
      <c r="R305" s="221"/>
      <c r="S305" s="221"/>
      <c r="T305" s="221"/>
      <c r="U305" s="221"/>
      <c r="V305" s="1035"/>
      <c r="W305" s="221"/>
      <c r="X305" s="221"/>
      <c r="Y305" s="221"/>
      <c r="Z305" s="221"/>
      <c r="AA305" s="1035"/>
      <c r="AB305" s="54">
        <f>AB271/AB302*(AF$3/AB$3)</f>
        <v>0.043277481356672594</v>
      </c>
      <c r="AC305" s="54">
        <f>AC271/AC302*(AF$3/AC$3)</f>
        <v>0.042610450773716085</v>
      </c>
      <c r="AD305" s="54">
        <f>AD271/AD302*(AF$3/AD$3)</f>
        <v>0.041612163832519297</v>
      </c>
      <c r="AE305" s="54">
        <f>AE271/AE302*(AF$3/AE$3)</f>
        <v>0.043597706641184904</v>
      </c>
      <c r="AF305" s="1036">
        <f>AF271/AF302</f>
        <v>0.042771495510933323</v>
      </c>
      <c r="AG305" s="54">
        <f>AG271/AG302*(AK$3/AG$3)</f>
        <v>0.04155058266678649</v>
      </c>
      <c r="AH305" s="54">
        <f>AH271/AH302*(AK$3/AH$3)</f>
        <v>0.043767611967144314</v>
      </c>
      <c r="AI305" s="54">
        <f>AI271/AI302*(AK$3/AI$3)</f>
        <v>0.042078392621870887</v>
      </c>
      <c r="AJ305" s="54">
        <f>AJ271/AJ302*(AK$3/AJ$3)</f>
        <v>0.044171360675937334</v>
      </c>
      <c r="AK305" s="1036">
        <f>AK271/AK302</f>
        <v>0.042911585419834516</v>
      </c>
      <c r="AL305" s="54">
        <f>AL271/AL302*(AP$3/AL$3)</f>
        <v>0.042247668298088466</v>
      </c>
      <c r="AM305" s="54">
        <f>AM271/AM302*(AP$3/AM$3)</f>
        <v>0.04129340884987702</v>
      </c>
      <c r="AN305" s="54">
        <f>AN271/AN302*(AP$3/AN$3)</f>
        <v>0.035197196191778773</v>
      </c>
      <c r="AO305" s="54">
        <f>AO271/AO302*(AP$3/AO$3)</f>
        <v>0.039272071762736595</v>
      </c>
      <c r="AP305" s="1036">
        <f>AP271/AP302</f>
        <v>0.039425602611801169</v>
      </c>
      <c r="AQ305" s="54">
        <f>AQ271/AQ302*(AU$3/AQ$3)</f>
        <v>0.036974834719556406</v>
      </c>
      <c r="AR305" s="54">
        <f>AR271/AR302*(AU$3/AR$3)</f>
        <v>0.03471136014975687</v>
      </c>
      <c r="AS305" s="54">
        <f>AS271/AS302*(AU$3/AS$3)</f>
        <v>0.032386867790594499</v>
      </c>
      <c r="AT305" s="54">
        <f>AT271/AT302*(AU$3/AT$3)</f>
        <v>0.032713258579139204</v>
      </c>
      <c r="AU305" s="1036">
        <f>AU271/AU302</f>
        <v>0.034144642571580813</v>
      </c>
      <c r="AV305" s="54">
        <f>AV271/AV302*(AZ$3/AV$3)</f>
        <v>0.032164424746650079</v>
      </c>
      <c r="AW305" s="54">
        <f>AW271/AW302*(AZ$3/AW$3)</f>
        <v>0.031244315567587232</v>
      </c>
      <c r="AX305" s="54">
        <f>AX271/AX302*(AZ$3/AX$3)</f>
        <v>0.03446379773833063</v>
      </c>
      <c r="AY305" s="54">
        <f>AY271/AY302*(AZ$3/AY$3)</f>
        <v>0.039947236238796341</v>
      </c>
      <c r="AZ305" s="1036">
        <f>AZ271/AZ302</f>
        <v>0.034336454994498805</v>
      </c>
      <c r="BA305" s="54">
        <f>BA271/BA302*(BE$3/BA$3)</f>
        <v>0.040417285893289037</v>
      </c>
      <c r="BB305" s="54">
        <f>BB271/BB302*(BE$3/BB$3)</f>
        <v>0.042985848038157304</v>
      </c>
      <c r="BC305" s="54">
        <f>BC271/BC302*(BE$3/BC$3)</f>
        <v>0.040732970270511558</v>
      </c>
      <c r="BD305" s="54">
        <f>BD271/BD302*(BE$3/BD$3)</f>
        <v>0.042576882290562043</v>
      </c>
      <c r="BE305" s="1036">
        <f>BE271/BE302</f>
        <v>0.041701760655858761</v>
      </c>
      <c r="BF305" s="54">
        <f>BF271/BF302*(BJ$3/BF$3)</f>
        <v>0.042501950151846775</v>
      </c>
      <c r="BG305" s="54">
        <f>BG271/BG302*(BJ$3/BG$3)</f>
        <v>0.045579986649796261</v>
      </c>
      <c r="BH305" s="754">
        <f>BH271/BH302*(BJ$3/BH$3)</f>
        <v>0.075582595987355242</v>
      </c>
      <c r="BI305" s="927">
        <v>0.040500000000000001</v>
      </c>
      <c r="BJ305" s="1035">
        <f>BJ271/BJ302</f>
        <v>0.049475566872902985</v>
      </c>
      <c r="BK305" s="927">
        <v>0.040500000000000001</v>
      </c>
      <c r="BL305" s="927">
        <v>0.040500000000000001</v>
      </c>
      <c r="BM305" s="927">
        <v>0.040500000000000001</v>
      </c>
      <c r="BN305" s="927">
        <v>0.040500000000000001</v>
      </c>
      <c r="BO305" s="1035">
        <f>BO271/BO302</f>
        <v>0.040499999999999994</v>
      </c>
      <c r="BP305" s="1037">
        <v>0.040500000000000001</v>
      </c>
      <c r="BQ305" s="1037">
        <v>0.040500000000000001</v>
      </c>
      <c r="BR305" s="1037">
        <v>0.040500000000000001</v>
      </c>
      <c r="BS305" s="54"/>
    </row>
    <row r="306" spans="1:71" s="25" customFormat="1" ht="15">
      <c r="A306" s="220"/>
      <c r="B306" s="496"/>
      <c r="C306" s="1016"/>
      <c r="D306" s="1016"/>
      <c r="E306" s="1016"/>
      <c r="F306" s="1016"/>
      <c r="G306" s="1016"/>
      <c r="H306" s="393"/>
      <c r="I306" s="393"/>
      <c r="J306" s="393"/>
      <c r="K306" s="393"/>
      <c r="L306" s="1016"/>
      <c r="M306" s="393"/>
      <c r="N306" s="393"/>
      <c r="O306" s="393"/>
      <c r="P306" s="393"/>
      <c r="Q306" s="1016"/>
      <c r="R306" s="393"/>
      <c r="S306" s="393"/>
      <c r="T306" s="393"/>
      <c r="U306" s="393"/>
      <c r="V306" s="1016"/>
      <c r="W306" s="393"/>
      <c r="X306" s="393"/>
      <c r="Y306" s="393"/>
      <c r="Z306" s="393"/>
      <c r="AA306" s="1016"/>
      <c r="AB306" s="393"/>
      <c r="AC306" s="393"/>
      <c r="AD306" s="393"/>
      <c r="AE306" s="393"/>
      <c r="AF306" s="1016"/>
      <c r="AG306" s="393"/>
      <c r="AH306" s="393"/>
      <c r="AI306" s="393"/>
      <c r="AJ306" s="393"/>
      <c r="AK306" s="1016"/>
      <c r="AL306" s="393"/>
      <c r="AM306" s="393"/>
      <c r="AN306" s="393"/>
      <c r="AO306" s="393"/>
      <c r="AP306" s="1016"/>
      <c r="AQ306" s="393"/>
      <c r="AR306" s="393"/>
      <c r="AS306" s="393"/>
      <c r="AT306" s="393"/>
      <c r="AU306" s="1016"/>
      <c r="AV306" s="393"/>
      <c r="AW306" s="393"/>
      <c r="AX306" s="393"/>
      <c r="AY306" s="393"/>
      <c r="AZ306" s="1016"/>
      <c r="BA306" s="393"/>
      <c r="BB306" s="393"/>
      <c r="BC306" s="393"/>
      <c r="BD306" s="393"/>
      <c r="BE306" s="1016"/>
      <c r="BF306" s="393"/>
      <c r="BG306" s="393"/>
      <c r="BH306" s="751"/>
      <c r="BI306" s="393"/>
      <c r="BJ306" s="1016"/>
      <c r="BK306" s="393"/>
      <c r="BL306" s="393"/>
      <c r="BM306" s="393"/>
      <c r="BN306" s="393"/>
      <c r="BO306" s="1016"/>
      <c r="BP306" s="1016"/>
      <c r="BQ306" s="1016"/>
      <c r="BR306" s="1016"/>
      <c r="BS306" s="158"/>
    </row>
    <row r="307" spans="1:71" s="17" customFormat="1" ht="15">
      <c r="A307" s="818" t="s">
        <v>412</v>
      </c>
      <c r="B307" s="818"/>
      <c r="C307" s="837"/>
      <c r="D307" s="837"/>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7"/>
      <c r="AD307" s="837"/>
      <c r="AE307" s="837"/>
      <c r="AF307" s="837"/>
      <c r="AG307" s="837"/>
      <c r="AH307" s="837"/>
      <c r="AI307" s="837"/>
      <c r="AJ307" s="837"/>
      <c r="AK307" s="837"/>
      <c r="AL307" s="837"/>
      <c r="AM307" s="837"/>
      <c r="AN307" s="837"/>
      <c r="AO307" s="837"/>
      <c r="AP307" s="837"/>
      <c r="AQ307" s="837"/>
      <c r="AR307" s="837"/>
      <c r="AS307" s="837"/>
      <c r="AT307" s="837"/>
      <c r="AU307" s="837"/>
      <c r="AV307" s="837"/>
      <c r="AW307" s="837"/>
      <c r="AX307" s="837"/>
      <c r="AY307" s="837"/>
      <c r="AZ307" s="837"/>
      <c r="BA307" s="837"/>
      <c r="BB307" s="837"/>
      <c r="BC307" s="837"/>
      <c r="BD307" s="837"/>
      <c r="BE307" s="837"/>
      <c r="BF307" s="837"/>
      <c r="BG307" s="837"/>
      <c r="BH307" s="838"/>
      <c r="BI307" s="837"/>
      <c r="BJ307" s="837"/>
      <c r="BK307" s="837"/>
      <c r="BL307" s="837"/>
      <c r="BM307" s="837"/>
      <c r="BN307" s="837"/>
      <c r="BO307" s="837"/>
      <c r="BP307" s="837"/>
      <c r="BQ307" s="837"/>
      <c r="BR307" s="837"/>
      <c r="BS307" s="457"/>
    </row>
    <row r="308" spans="1:71" s="300" customFormat="1" ht="15">
      <c r="A308" s="304" t="s">
        <v>827</v>
      </c>
      <c r="B308" s="233"/>
      <c r="C308" s="989"/>
      <c r="D308" s="989"/>
      <c r="E308" s="989"/>
      <c r="F308" s="989"/>
      <c r="G308" s="989"/>
      <c r="H308" s="92"/>
      <c r="I308" s="92"/>
      <c r="J308" s="92"/>
      <c r="K308" s="92"/>
      <c r="L308" s="989"/>
      <c r="M308" s="92"/>
      <c r="N308" s="92"/>
      <c r="O308" s="92"/>
      <c r="P308" s="92"/>
      <c r="Q308" s="989"/>
      <c r="R308" s="92"/>
      <c r="S308" s="92"/>
      <c r="T308" s="92"/>
      <c r="U308" s="92"/>
      <c r="V308" s="989"/>
      <c r="W308" s="92"/>
      <c r="X308" s="92"/>
      <c r="Y308" s="92"/>
      <c r="Z308" s="92"/>
      <c r="AA308" s="989"/>
      <c r="AB308" s="92"/>
      <c r="AC308" s="92"/>
      <c r="AD308" s="92"/>
      <c r="AE308" s="92"/>
      <c r="AF308" s="989"/>
      <c r="AG308" s="92"/>
      <c r="AH308" s="92"/>
      <c r="AI308" s="92"/>
      <c r="AJ308" s="92"/>
      <c r="AK308" s="989"/>
      <c r="AL308" s="92"/>
      <c r="AM308" s="92"/>
      <c r="AN308" s="92"/>
      <c r="AO308" s="92"/>
      <c r="AP308" s="989"/>
      <c r="AQ308" s="92"/>
      <c r="AR308" s="897">
        <v>2</v>
      </c>
      <c r="AS308" s="897">
        <v>1</v>
      </c>
      <c r="AT308" s="305">
        <f t="shared" si="1045" ref="AT308:AT313">AU308-SUM(AQ308,AR308,AS308)</f>
        <v>19</v>
      </c>
      <c r="AU308" s="988">
        <v>22</v>
      </c>
      <c r="AV308" s="897">
        <v>24</v>
      </c>
      <c r="AW308" s="897">
        <v>25</v>
      </c>
      <c r="AX308" s="897">
        <v>23</v>
      </c>
      <c r="AY308" s="305">
        <f t="shared" si="1046" ref="AY308:AY313">AZ308-SUM(AV308,AW308,AX308)</f>
        <v>23</v>
      </c>
      <c r="AZ308" s="988">
        <v>95</v>
      </c>
      <c r="BA308" s="897">
        <v>23</v>
      </c>
      <c r="BB308" s="897">
        <v>23</v>
      </c>
      <c r="BC308" s="897">
        <v>20</v>
      </c>
      <c r="BD308" s="305">
        <f t="shared" si="1047" ref="BD308:BD313">BE308-SUM(BA308,BB308,BC308)</f>
        <v>23</v>
      </c>
      <c r="BE308" s="988">
        <v>89</v>
      </c>
      <c r="BF308" s="897">
        <v>20</v>
      </c>
      <c r="BG308" s="897">
        <v>19</v>
      </c>
      <c r="BH308" s="898">
        <v>17</v>
      </c>
      <c r="BI308" s="897">
        <v>20</v>
      </c>
      <c r="BJ308" s="989">
        <f>SUM(BF308,BG308,BH308,BI308)</f>
        <v>76</v>
      </c>
      <c r="BK308" s="897">
        <v>20</v>
      </c>
      <c r="BL308" s="897">
        <v>20</v>
      </c>
      <c r="BM308" s="897">
        <v>20</v>
      </c>
      <c r="BN308" s="897">
        <v>20</v>
      </c>
      <c r="BO308" s="989">
        <f>SUM(BK308,BL308,BM308,BN308)</f>
        <v>80</v>
      </c>
      <c r="BP308" s="988">
        <v>80</v>
      </c>
      <c r="BQ308" s="988">
        <v>80</v>
      </c>
      <c r="BR308" s="988">
        <v>80</v>
      </c>
      <c r="BS308" s="305"/>
    </row>
    <row r="309" spans="1:71" s="300" customFormat="1" ht="15">
      <c r="A309" s="304" t="s">
        <v>425</v>
      </c>
      <c r="B309" s="233"/>
      <c r="C309" s="988">
        <v>52</v>
      </c>
      <c r="D309" s="988">
        <v>60</v>
      </c>
      <c r="E309" s="988">
        <v>54</v>
      </c>
      <c r="F309" s="988">
        <v>37</v>
      </c>
      <c r="G309" s="988">
        <v>30</v>
      </c>
      <c r="H309" s="897">
        <v>7</v>
      </c>
      <c r="I309" s="897">
        <v>9</v>
      </c>
      <c r="J309" s="897">
        <v>6</v>
      </c>
      <c r="K309" s="305">
        <f>L309-SUM(H309,I309,J309)</f>
        <v>5</v>
      </c>
      <c r="L309" s="988">
        <v>27</v>
      </c>
      <c r="M309" s="897">
        <v>8</v>
      </c>
      <c r="N309" s="897">
        <v>8</v>
      </c>
      <c r="O309" s="897">
        <v>9</v>
      </c>
      <c r="P309" s="305">
        <f>Q309-SUM(M309,N309,O309)</f>
        <v>10</v>
      </c>
      <c r="Q309" s="988">
        <v>35</v>
      </c>
      <c r="R309" s="897">
        <v>10</v>
      </c>
      <c r="S309" s="897">
        <v>11</v>
      </c>
      <c r="T309" s="897">
        <v>11</v>
      </c>
      <c r="U309" s="305">
        <f>V309-SUM(R309,S309,T309)</f>
        <v>10</v>
      </c>
      <c r="V309" s="988">
        <v>42</v>
      </c>
      <c r="W309" s="897">
        <v>11</v>
      </c>
      <c r="X309" s="897">
        <v>10</v>
      </c>
      <c r="Y309" s="897">
        <v>10</v>
      </c>
      <c r="Z309" s="305">
        <f>AA309-SUM(W309,X309,Y309)</f>
        <v>10</v>
      </c>
      <c r="AA309" s="988">
        <v>41</v>
      </c>
      <c r="AB309" s="897">
        <v>13</v>
      </c>
      <c r="AC309" s="897">
        <v>23</v>
      </c>
      <c r="AD309" s="897">
        <v>20</v>
      </c>
      <c r="AE309" s="305">
        <f>AF309-SUM(AB309,AC309,AD309)</f>
        <v>15</v>
      </c>
      <c r="AF309" s="988">
        <v>71</v>
      </c>
      <c r="AG309" s="897">
        <v>12</v>
      </c>
      <c r="AH309" s="897">
        <v>19</v>
      </c>
      <c r="AI309" s="897">
        <v>21</v>
      </c>
      <c r="AJ309" s="305">
        <f>AK309-SUM(AG309,AH309,AI309)</f>
        <v>18</v>
      </c>
      <c r="AK309" s="988">
        <v>70</v>
      </c>
      <c r="AL309" s="897">
        <v>14</v>
      </c>
      <c r="AM309" s="897">
        <v>11</v>
      </c>
      <c r="AN309" s="897">
        <v>12</v>
      </c>
      <c r="AO309" s="305">
        <f>AP309-SUM(AL309,AM309,AN309)</f>
        <v>10</v>
      </c>
      <c r="AP309" s="988">
        <v>47</v>
      </c>
      <c r="AQ309" s="897">
        <v>6</v>
      </c>
      <c r="AR309" s="897">
        <v>12</v>
      </c>
      <c r="AS309" s="897">
        <v>26</v>
      </c>
      <c r="AT309" s="305">
        <f t="shared" si="1045"/>
        <v>14</v>
      </c>
      <c r="AU309" s="988">
        <v>58</v>
      </c>
      <c r="AV309" s="897">
        <v>10</v>
      </c>
      <c r="AW309" s="897">
        <v>28</v>
      </c>
      <c r="AX309" s="897">
        <v>28</v>
      </c>
      <c r="AY309" s="305">
        <f t="shared" si="1046"/>
        <v>30</v>
      </c>
      <c r="AZ309" s="988">
        <v>96</v>
      </c>
      <c r="BA309" s="897">
        <v>31</v>
      </c>
      <c r="BB309" s="897">
        <v>27</v>
      </c>
      <c r="BC309" s="897">
        <v>23</v>
      </c>
      <c r="BD309" s="305">
        <f t="shared" si="1047"/>
        <v>24</v>
      </c>
      <c r="BE309" s="988">
        <v>105</v>
      </c>
      <c r="BF309" s="897">
        <v>18</v>
      </c>
      <c r="BG309" s="897">
        <v>21</v>
      </c>
      <c r="BH309" s="898">
        <v>25</v>
      </c>
      <c r="BI309" s="92">
        <f>BI332*BI335/(BJ$3/BI$3)</f>
        <v>18.312021857923497</v>
      </c>
      <c r="BJ309" s="989">
        <f>SUM(BF309,BG309,BH309,BI309)</f>
        <v>82.312021857923497</v>
      </c>
      <c r="BK309" s="92">
        <f>BK332*BK335/(BO$3/BK$3)</f>
        <v>17.504383561643834</v>
      </c>
      <c r="BL309" s="92">
        <f>BL332*BL335/(BO$3/BL$3)</f>
        <v>17.235150684931504</v>
      </c>
      <c r="BM309" s="92">
        <f>BM332*BM335/(BO$3/BM$3)</f>
        <v>16.955726027397258</v>
      </c>
      <c r="BN309" s="92">
        <f>BN332*BN335/(BO$3/BN$3)</f>
        <v>16.486904109589041</v>
      </c>
      <c r="BO309" s="989">
        <f>SUM(BK309,BL309,BM309,BN309)</f>
        <v>68.182164383561627</v>
      </c>
      <c r="BP309" s="989">
        <f>BP332*BP335</f>
        <v>60.76</v>
      </c>
      <c r="BQ309" s="989">
        <f>BQ332*BQ335</f>
        <v>53.32</v>
      </c>
      <c r="BR309" s="989">
        <f>BR332*BR335</f>
        <v>45.88</v>
      </c>
      <c r="BS309" s="305"/>
    </row>
    <row r="310" spans="1:71" s="300" customFormat="1" ht="15">
      <c r="A310" s="111" t="s">
        <v>626</v>
      </c>
      <c r="B310" s="233"/>
      <c r="C310" s="989"/>
      <c r="D310" s="989"/>
      <c r="E310" s="989"/>
      <c r="F310" s="989"/>
      <c r="G310" s="989"/>
      <c r="H310" s="92"/>
      <c r="I310" s="92"/>
      <c r="J310" s="92"/>
      <c r="K310" s="92">
        <f>L310-SUM(H310,I310,J310)</f>
        <v>0</v>
      </c>
      <c r="L310" s="989"/>
      <c r="M310" s="92"/>
      <c r="N310" s="92"/>
      <c r="O310" s="92"/>
      <c r="P310" s="92">
        <f>Q310-SUM(M310,N310,O310)</f>
        <v>0</v>
      </c>
      <c r="Q310" s="989"/>
      <c r="R310" s="92"/>
      <c r="S310" s="92"/>
      <c r="T310" s="92"/>
      <c r="U310" s="92">
        <f>V310-SUM(R310,S310,T310)</f>
        <v>0</v>
      </c>
      <c r="V310" s="989"/>
      <c r="W310" s="92"/>
      <c r="X310" s="92"/>
      <c r="Y310" s="92"/>
      <c r="Z310" s="92">
        <f>AA310-SUM(W310,X310,Y310)</f>
        <v>0</v>
      </c>
      <c r="AA310" s="989"/>
      <c r="AB310" s="92"/>
      <c r="AC310" s="92"/>
      <c r="AD310" s="92"/>
      <c r="AE310" s="92">
        <f>AF310-SUM(AB310,AC310,AD310)</f>
        <v>0</v>
      </c>
      <c r="AF310" s="989"/>
      <c r="AG310" s="92"/>
      <c r="AH310" s="92"/>
      <c r="AI310" s="92"/>
      <c r="AJ310" s="92">
        <f>AK310-SUM(AG310,AH310,AI310)</f>
        <v>0</v>
      </c>
      <c r="AK310" s="989"/>
      <c r="AL310" s="92"/>
      <c r="AM310" s="92"/>
      <c r="AN310" s="92"/>
      <c r="AO310" s="92">
        <f>AP310-SUM(AL310,AM310,AN310)</f>
        <v>0</v>
      </c>
      <c r="AP310" s="989"/>
      <c r="AQ310" s="897">
        <v>10</v>
      </c>
      <c r="AR310" s="897">
        <v>12</v>
      </c>
      <c r="AS310" s="897">
        <v>8</v>
      </c>
      <c r="AT310" s="92">
        <f t="shared" si="1045"/>
        <v>1</v>
      </c>
      <c r="AU310" s="988">
        <v>31</v>
      </c>
      <c r="AV310" s="897">
        <v>-44</v>
      </c>
      <c r="AW310" s="897">
        <v>-29</v>
      </c>
      <c r="AX310" s="897">
        <v>-25</v>
      </c>
      <c r="AY310" s="92">
        <f t="shared" si="1046"/>
        <v>-1</v>
      </c>
      <c r="AZ310" s="988">
        <v>-99</v>
      </c>
      <c r="BA310" s="897">
        <v>1</v>
      </c>
      <c r="BB310" s="897">
        <v>-13</v>
      </c>
      <c r="BC310" s="897">
        <v>-14</v>
      </c>
      <c r="BD310" s="92">
        <f t="shared" si="1047"/>
        <v>15</v>
      </c>
      <c r="BE310" s="988">
        <v>-11</v>
      </c>
      <c r="BF310" s="897">
        <v>1</v>
      </c>
      <c r="BG310" s="92"/>
      <c r="BH310" s="898">
        <v>17</v>
      </c>
      <c r="BI310" s="897">
        <v>0</v>
      </c>
      <c r="BJ310" s="989">
        <f>SUM(BF310,BG310,BH310,BI310)</f>
        <v>18</v>
      </c>
      <c r="BK310" s="897">
        <v>0</v>
      </c>
      <c r="BL310" s="897">
        <v>0</v>
      </c>
      <c r="BM310" s="897">
        <v>0</v>
      </c>
      <c r="BN310" s="897">
        <v>0</v>
      </c>
      <c r="BO310" s="989">
        <f>SUM(BK310,BL310,BM310,BN310)</f>
        <v>0</v>
      </c>
      <c r="BP310" s="988">
        <v>0</v>
      </c>
      <c r="BQ310" s="988">
        <v>0</v>
      </c>
      <c r="BR310" s="988">
        <v>0</v>
      </c>
      <c r="BS310" s="305"/>
    </row>
    <row r="311" spans="1:71" s="300" customFormat="1" ht="15">
      <c r="A311" s="304" t="s">
        <v>426</v>
      </c>
      <c r="B311" s="233"/>
      <c r="C311" s="988">
        <v>-410</v>
      </c>
      <c r="D311" s="988">
        <v>-379</v>
      </c>
      <c r="E311" s="988">
        <v>-393</v>
      </c>
      <c r="F311" s="988">
        <v>-379</v>
      </c>
      <c r="G311" s="988">
        <v>-252</v>
      </c>
      <c r="H311" s="897">
        <v>-8</v>
      </c>
      <c r="I311" s="897">
        <v>-10</v>
      </c>
      <c r="J311" s="897">
        <v>-6</v>
      </c>
      <c r="K311" s="305">
        <f>L311-SUM(H311,I311,J311)</f>
        <v>-14</v>
      </c>
      <c r="L311" s="988">
        <v>-38</v>
      </c>
      <c r="M311" s="897">
        <v>-5</v>
      </c>
      <c r="N311" s="897">
        <v>-9</v>
      </c>
      <c r="O311" s="897">
        <v>-13</v>
      </c>
      <c r="P311" s="305">
        <f>Q311-SUM(M311,N311,O311)</f>
        <v>-7</v>
      </c>
      <c r="Q311" s="988">
        <v>-34</v>
      </c>
      <c r="R311" s="897">
        <v>-6</v>
      </c>
      <c r="S311" s="897">
        <v>-7</v>
      </c>
      <c r="T311" s="897">
        <v>-7</v>
      </c>
      <c r="U311" s="305">
        <f>V311-SUM(R311,S311,T311)</f>
        <v>-9</v>
      </c>
      <c r="V311" s="988">
        <v>-29</v>
      </c>
      <c r="W311" s="897">
        <v>-8</v>
      </c>
      <c r="X311" s="897">
        <v>-9</v>
      </c>
      <c r="Y311" s="897">
        <v>-93</v>
      </c>
      <c r="Z311" s="305">
        <f>AA311-SUM(W311,X311,Y311)</f>
        <v>-44</v>
      </c>
      <c r="AA311" s="988">
        <v>-154</v>
      </c>
      <c r="AB311" s="897">
        <v>-8</v>
      </c>
      <c r="AC311" s="897">
        <v>-11</v>
      </c>
      <c r="AD311" s="897">
        <v>-28</v>
      </c>
      <c r="AE311" s="305">
        <f>AF311-SUM(AB311,AC311,AD311)</f>
        <v>-24</v>
      </c>
      <c r="AF311" s="988">
        <v>-71</v>
      </c>
      <c r="AG311" s="897">
        <v>-21</v>
      </c>
      <c r="AH311" s="897">
        <v>-24</v>
      </c>
      <c r="AI311" s="897">
        <v>-19</v>
      </c>
      <c r="AJ311" s="305">
        <f>AK311-SUM(AG311,AH311,AI311)</f>
        <v>-27</v>
      </c>
      <c r="AK311" s="988">
        <v>-91</v>
      </c>
      <c r="AL311" s="897">
        <v>-25</v>
      </c>
      <c r="AM311" s="897">
        <v>-25</v>
      </c>
      <c r="AN311" s="897">
        <v>-23</v>
      </c>
      <c r="AO311" s="305">
        <f>AP311-SUM(AL311,AM311,AN311)</f>
        <v>-37</v>
      </c>
      <c r="AP311" s="988">
        <v>-110</v>
      </c>
      <c r="AQ311" s="897">
        <v>-32</v>
      </c>
      <c r="AR311" s="897">
        <v>-28</v>
      </c>
      <c r="AS311" s="897">
        <v>-41</v>
      </c>
      <c r="AT311" s="305">
        <f t="shared" si="1045"/>
        <v>-57</v>
      </c>
      <c r="AU311" s="988">
        <v>-158</v>
      </c>
      <c r="AV311" s="897">
        <v>-59</v>
      </c>
      <c r="AW311" s="897">
        <v>-75</v>
      </c>
      <c r="AX311" s="897">
        <v>-65</v>
      </c>
      <c r="AY311" s="305">
        <f t="shared" si="1046"/>
        <v>-63</v>
      </c>
      <c r="AZ311" s="988">
        <v>-262</v>
      </c>
      <c r="BA311" s="897">
        <v>-48</v>
      </c>
      <c r="BB311" s="897">
        <v>-45</v>
      </c>
      <c r="BC311" s="897">
        <v>-39</v>
      </c>
      <c r="BD311" s="305">
        <f t="shared" si="1047"/>
        <v>-53</v>
      </c>
      <c r="BE311" s="988">
        <v>-185</v>
      </c>
      <c r="BF311" s="897">
        <v>-42</v>
      </c>
      <c r="BG311" s="897">
        <v>-47</v>
      </c>
      <c r="BH311" s="898">
        <v>-39</v>
      </c>
      <c r="BI311" s="897">
        <v>-28</v>
      </c>
      <c r="BJ311" s="989">
        <f>SUM(BF311,BG311,BH311,BI311)</f>
        <v>-156</v>
      </c>
      <c r="BK311" s="897">
        <v>-28</v>
      </c>
      <c r="BL311" s="897">
        <v>-28</v>
      </c>
      <c r="BM311" s="897">
        <v>-28</v>
      </c>
      <c r="BN311" s="897">
        <v>-28</v>
      </c>
      <c r="BO311" s="989">
        <f>SUM(BK311,BL311,BM311,BN311)</f>
        <v>-112</v>
      </c>
      <c r="BP311" s="988">
        <v>-112</v>
      </c>
      <c r="BQ311" s="988">
        <v>-112</v>
      </c>
      <c r="BR311" s="988">
        <v>-112</v>
      </c>
      <c r="BS311" s="305"/>
    </row>
    <row r="312" spans="1:71" s="300" customFormat="1" ht="15">
      <c r="A312" s="304" t="s">
        <v>669</v>
      </c>
      <c r="B312" s="233"/>
      <c r="C312" s="989"/>
      <c r="D312" s="989"/>
      <c r="E312" s="989"/>
      <c r="F312" s="989"/>
      <c r="G312" s="989"/>
      <c r="H312" s="92"/>
      <c r="I312" s="92"/>
      <c r="J312" s="92"/>
      <c r="K312" s="92"/>
      <c r="L312" s="989"/>
      <c r="M312" s="92"/>
      <c r="N312" s="92"/>
      <c r="O312" s="92"/>
      <c r="P312" s="92"/>
      <c r="Q312" s="989"/>
      <c r="R312" s="92"/>
      <c r="S312" s="92"/>
      <c r="T312" s="92"/>
      <c r="U312" s="92"/>
      <c r="V312" s="989"/>
      <c r="W312" s="92"/>
      <c r="X312" s="92"/>
      <c r="Y312" s="92"/>
      <c r="Z312" s="92"/>
      <c r="AA312" s="989"/>
      <c r="AB312" s="92"/>
      <c r="AC312" s="92"/>
      <c r="AD312" s="92"/>
      <c r="AE312" s="92"/>
      <c r="AF312" s="989"/>
      <c r="AG312" s="92"/>
      <c r="AH312" s="92"/>
      <c r="AI312" s="92"/>
      <c r="AJ312" s="92"/>
      <c r="AK312" s="989"/>
      <c r="AL312" s="92"/>
      <c r="AM312" s="92"/>
      <c r="AN312" s="92"/>
      <c r="AO312" s="92"/>
      <c r="AP312" s="989"/>
      <c r="AQ312" s="897">
        <v>-10</v>
      </c>
      <c r="AR312" s="897">
        <v>0</v>
      </c>
      <c r="AS312" s="897">
        <v>-1</v>
      </c>
      <c r="AT312" s="305">
        <f t="shared" si="1045"/>
        <v>9</v>
      </c>
      <c r="AU312" s="988">
        <v>-2</v>
      </c>
      <c r="AV312" s="92"/>
      <c r="AW312" s="897">
        <v>-1</v>
      </c>
      <c r="AX312" s="897">
        <v>0</v>
      </c>
      <c r="AY312" s="305">
        <f t="shared" si="1046"/>
        <v>-2</v>
      </c>
      <c r="AZ312" s="988">
        <v>-3</v>
      </c>
      <c r="BA312" s="897">
        <v>-1</v>
      </c>
      <c r="BB312" s="897">
        <v>-1</v>
      </c>
      <c r="BC312" s="897">
        <v>-8</v>
      </c>
      <c r="BD312" s="305">
        <f t="shared" si="1047"/>
        <v>-3</v>
      </c>
      <c r="BE312" s="988">
        <v>-13</v>
      </c>
      <c r="BF312" s="897">
        <v>-1</v>
      </c>
      <c r="BG312" s="897">
        <v>2</v>
      </c>
      <c r="BH312" s="898">
        <v>-3</v>
      </c>
      <c r="BI312" s="92"/>
      <c r="BJ312" s="989"/>
      <c r="BK312" s="92"/>
      <c r="BL312" s="92"/>
      <c r="BM312" s="92"/>
      <c r="BN312" s="92"/>
      <c r="BO312" s="989"/>
      <c r="BP312" s="989"/>
      <c r="BQ312" s="989"/>
      <c r="BR312" s="989"/>
      <c r="BS312" s="305"/>
    </row>
    <row r="313" spans="1:71" s="300" customFormat="1" ht="15">
      <c r="A313" s="110" t="s">
        <v>427</v>
      </c>
      <c r="B313" s="113"/>
      <c r="C313" s="995"/>
      <c r="D313" s="995"/>
      <c r="E313" s="995"/>
      <c r="F313" s="995"/>
      <c r="G313" s="990">
        <v>-366</v>
      </c>
      <c r="H313" s="900">
        <v>-87</v>
      </c>
      <c r="I313" s="900">
        <v>-84</v>
      </c>
      <c r="J313" s="900">
        <v>-77</v>
      </c>
      <c r="K313" s="58">
        <f>L313-SUM(H313,I313,J313)</f>
        <v>-73</v>
      </c>
      <c r="L313" s="990">
        <v>-321</v>
      </c>
      <c r="M313" s="900">
        <v>-73</v>
      </c>
      <c r="N313" s="900">
        <v>-73</v>
      </c>
      <c r="O313" s="900">
        <v>-73</v>
      </c>
      <c r="P313" s="58">
        <f>Q313-SUM(M313,N313,O313)</f>
        <v>-73</v>
      </c>
      <c r="Q313" s="990">
        <v>-292</v>
      </c>
      <c r="R313" s="900">
        <v>-73</v>
      </c>
      <c r="S313" s="900">
        <v>-72</v>
      </c>
      <c r="T313" s="900">
        <v>-73</v>
      </c>
      <c r="U313" s="58">
        <f>V313-SUM(R313,S313,T313)</f>
        <v>-77</v>
      </c>
      <c r="V313" s="990">
        <v>-295</v>
      </c>
      <c r="W313" s="900">
        <v>-85</v>
      </c>
      <c r="X313" s="900">
        <v>-83</v>
      </c>
      <c r="Y313" s="900">
        <v>-82</v>
      </c>
      <c r="Z313" s="58">
        <f>AA313-SUM(W313,X313,Y313)</f>
        <v>-84</v>
      </c>
      <c r="AA313" s="990">
        <v>-334</v>
      </c>
      <c r="AB313" s="900">
        <v>-83</v>
      </c>
      <c r="AC313" s="900">
        <v>-86</v>
      </c>
      <c r="AD313" s="900">
        <v>-82</v>
      </c>
      <c r="AE313" s="58">
        <f>AF313-SUM(AB313,AC313,AD313)</f>
        <v>-81</v>
      </c>
      <c r="AF313" s="990">
        <v>-332</v>
      </c>
      <c r="AG313" s="900">
        <v>-83</v>
      </c>
      <c r="AH313" s="900">
        <v>-82</v>
      </c>
      <c r="AI313" s="900">
        <v>-80</v>
      </c>
      <c r="AJ313" s="58">
        <f>AK313-SUM(AG313,AH313,AI313)</f>
        <v>-81</v>
      </c>
      <c r="AK313" s="990">
        <v>-326</v>
      </c>
      <c r="AL313" s="900">
        <v>-81</v>
      </c>
      <c r="AM313" s="900">
        <v>-79</v>
      </c>
      <c r="AN313" s="900">
        <v>-78</v>
      </c>
      <c r="AO313" s="58">
        <f>AP313-SUM(AL313,AM313,AN313)</f>
        <v>-80</v>
      </c>
      <c r="AP313" s="990">
        <v>-318</v>
      </c>
      <c r="AQ313" s="900">
        <v>-86</v>
      </c>
      <c r="AR313" s="900">
        <v>-91</v>
      </c>
      <c r="AS313" s="900">
        <v>-69</v>
      </c>
      <c r="AT313" s="58">
        <f t="shared" si="1045"/>
        <v>-83</v>
      </c>
      <c r="AU313" s="990">
        <v>-329</v>
      </c>
      <c r="AV313" s="900">
        <v>-83</v>
      </c>
      <c r="AW313" s="900">
        <v>-83</v>
      </c>
      <c r="AX313" s="900">
        <v>-83</v>
      </c>
      <c r="AY313" s="58">
        <f t="shared" si="1046"/>
        <v>-86</v>
      </c>
      <c r="AZ313" s="990">
        <v>-335</v>
      </c>
      <c r="BA313" s="900">
        <v>-86</v>
      </c>
      <c r="BB313" s="900">
        <v>-98</v>
      </c>
      <c r="BC313" s="900">
        <v>-88</v>
      </c>
      <c r="BD313" s="58">
        <f t="shared" si="1047"/>
        <v>-107</v>
      </c>
      <c r="BE313" s="990">
        <v>-379</v>
      </c>
      <c r="BF313" s="900">
        <v>-97</v>
      </c>
      <c r="BG313" s="900">
        <v>-98</v>
      </c>
      <c r="BH313" s="901">
        <v>-104</v>
      </c>
      <c r="BI313" s="115">
        <f>-BI773</f>
        <v>-89.398863387978139</v>
      </c>
      <c r="BJ313" s="995">
        <f>SUM(BF313,BG313,BH313,BI313)</f>
        <v>-388.39886338797817</v>
      </c>
      <c r="BK313" s="115">
        <f>-BK773</f>
        <v>-87.695013698630135</v>
      </c>
      <c r="BL313" s="115">
        <f>-BL773</f>
        <v>-88.669402739726024</v>
      </c>
      <c r="BM313" s="115">
        <f>-BM773</f>
        <v>-89.643791780821914</v>
      </c>
      <c r="BN313" s="115">
        <f>-BN773</f>
        <v>-89.643791780821914</v>
      </c>
      <c r="BO313" s="995">
        <f>SUM(BK313,BL313,BM313,BN313)</f>
        <v>-355.65199999999999</v>
      </c>
      <c r="BP313" s="995">
        <f>-BP773</f>
        <v>-355.65199999999999</v>
      </c>
      <c r="BQ313" s="995">
        <f>-BQ773</f>
        <v>-355.65199999999999</v>
      </c>
      <c r="BR313" s="995">
        <f>-BR773</f>
        <v>-355.65199999999999</v>
      </c>
      <c r="BS313" s="305"/>
    </row>
    <row r="314" spans="1:71" s="51" customFormat="1" ht="15">
      <c r="A314" s="109" t="s">
        <v>634</v>
      </c>
      <c r="B314" s="391"/>
      <c r="C314" s="999">
        <f t="shared" si="1048" ref="C314:AH314">SUM(C308:C313)</f>
        <v>-358</v>
      </c>
      <c r="D314" s="999">
        <f t="shared" si="1048"/>
        <v>-319</v>
      </c>
      <c r="E314" s="999">
        <f t="shared" si="1048"/>
        <v>-339</v>
      </c>
      <c r="F314" s="999">
        <f t="shared" si="1048"/>
        <v>-342</v>
      </c>
      <c r="G314" s="999">
        <f t="shared" si="1048"/>
        <v>-588</v>
      </c>
      <c r="H314" s="57">
        <f t="shared" si="1048"/>
        <v>-88</v>
      </c>
      <c r="I314" s="57">
        <f t="shared" si="1048"/>
        <v>-85</v>
      </c>
      <c r="J314" s="57">
        <f t="shared" si="1048"/>
        <v>-77</v>
      </c>
      <c r="K314" s="57">
        <f t="shared" si="1048"/>
        <v>-82</v>
      </c>
      <c r="L314" s="999">
        <f t="shared" si="1048"/>
        <v>-332</v>
      </c>
      <c r="M314" s="57">
        <f t="shared" si="1048"/>
        <v>-70</v>
      </c>
      <c r="N314" s="57">
        <f t="shared" si="1048"/>
        <v>-74</v>
      </c>
      <c r="O314" s="57">
        <f t="shared" si="1048"/>
        <v>-77</v>
      </c>
      <c r="P314" s="57">
        <f t="shared" si="1048"/>
        <v>-70</v>
      </c>
      <c r="Q314" s="999">
        <f t="shared" si="1048"/>
        <v>-291</v>
      </c>
      <c r="R314" s="57">
        <f t="shared" si="1048"/>
        <v>-69</v>
      </c>
      <c r="S314" s="57">
        <f t="shared" si="1048"/>
        <v>-68</v>
      </c>
      <c r="T314" s="57">
        <f t="shared" si="1048"/>
        <v>-69</v>
      </c>
      <c r="U314" s="57">
        <f t="shared" si="1048"/>
        <v>-76</v>
      </c>
      <c r="V314" s="999">
        <f t="shared" si="1048"/>
        <v>-282</v>
      </c>
      <c r="W314" s="57">
        <f t="shared" si="1048"/>
        <v>-82</v>
      </c>
      <c r="X314" s="57">
        <f t="shared" si="1048"/>
        <v>-82</v>
      </c>
      <c r="Y314" s="57">
        <f t="shared" si="1048"/>
        <v>-165</v>
      </c>
      <c r="Z314" s="57">
        <f t="shared" si="1048"/>
        <v>-118</v>
      </c>
      <c r="AA314" s="999">
        <f t="shared" si="1048"/>
        <v>-447</v>
      </c>
      <c r="AB314" s="57">
        <f t="shared" si="1048"/>
        <v>-78</v>
      </c>
      <c r="AC314" s="57">
        <f t="shared" si="1048"/>
        <v>-74</v>
      </c>
      <c r="AD314" s="57">
        <f t="shared" si="1048"/>
        <v>-90</v>
      </c>
      <c r="AE314" s="57">
        <f t="shared" si="1048"/>
        <v>-90</v>
      </c>
      <c r="AF314" s="999">
        <f t="shared" si="1048"/>
        <v>-332</v>
      </c>
      <c r="AG314" s="57">
        <f t="shared" si="1048"/>
        <v>-92</v>
      </c>
      <c r="AH314" s="57">
        <f t="shared" si="1048"/>
        <v>-87</v>
      </c>
      <c r="AI314" s="57">
        <f t="shared" si="1049" ref="AI314:BN314">SUM(AI308:AI313)</f>
        <v>-78</v>
      </c>
      <c r="AJ314" s="57">
        <f t="shared" si="1049"/>
        <v>-90</v>
      </c>
      <c r="AK314" s="999">
        <f t="shared" si="1049"/>
        <v>-347</v>
      </c>
      <c r="AL314" s="57">
        <f t="shared" si="1049"/>
        <v>-92</v>
      </c>
      <c r="AM314" s="57">
        <f t="shared" si="1049"/>
        <v>-93</v>
      </c>
      <c r="AN314" s="57">
        <f t="shared" si="1049"/>
        <v>-89</v>
      </c>
      <c r="AO314" s="57">
        <f t="shared" si="1049"/>
        <v>-107</v>
      </c>
      <c r="AP314" s="999">
        <f t="shared" si="1049"/>
        <v>-381</v>
      </c>
      <c r="AQ314" s="57">
        <f t="shared" si="1049"/>
        <v>-112</v>
      </c>
      <c r="AR314" s="57">
        <f t="shared" si="1049"/>
        <v>-93</v>
      </c>
      <c r="AS314" s="57">
        <f t="shared" si="1049"/>
        <v>-76</v>
      </c>
      <c r="AT314" s="57">
        <f t="shared" si="1049"/>
        <v>-97</v>
      </c>
      <c r="AU314" s="999">
        <f t="shared" si="1049"/>
        <v>-378</v>
      </c>
      <c r="AV314" s="57">
        <f t="shared" si="1049"/>
        <v>-152</v>
      </c>
      <c r="AW314" s="57">
        <f t="shared" si="1049"/>
        <v>-135</v>
      </c>
      <c r="AX314" s="57">
        <f t="shared" si="1049"/>
        <v>-122</v>
      </c>
      <c r="AY314" s="57">
        <f t="shared" si="1049"/>
        <v>-99</v>
      </c>
      <c r="AZ314" s="999">
        <f t="shared" si="1049"/>
        <v>-508</v>
      </c>
      <c r="BA314" s="57">
        <f t="shared" si="1049"/>
        <v>-80</v>
      </c>
      <c r="BB314" s="57">
        <f t="shared" si="1049"/>
        <v>-107</v>
      </c>
      <c r="BC314" s="57">
        <f t="shared" si="1049"/>
        <v>-106</v>
      </c>
      <c r="BD314" s="57">
        <f t="shared" si="1049"/>
        <v>-101</v>
      </c>
      <c r="BE314" s="999">
        <f t="shared" si="1049"/>
        <v>-394</v>
      </c>
      <c r="BF314" s="57">
        <f t="shared" si="1049"/>
        <v>-101</v>
      </c>
      <c r="BG314" s="57">
        <f>SUM(BG308:BG313)</f>
        <v>-103</v>
      </c>
      <c r="BH314" s="745">
        <f>SUM(BH308:BH313)</f>
        <v>-87</v>
      </c>
      <c r="BI314" s="128">
        <f t="shared" si="1049"/>
        <v>-79.086841530054642</v>
      </c>
      <c r="BJ314" s="1000">
        <f t="shared" si="1049"/>
        <v>-368.0868415300547</v>
      </c>
      <c r="BK314" s="128">
        <f t="shared" si="1049"/>
        <v>-78.1906301369863</v>
      </c>
      <c r="BL314" s="128">
        <f t="shared" si="1049"/>
        <v>-79.434252054794513</v>
      </c>
      <c r="BM314" s="128">
        <f t="shared" si="1049"/>
        <v>-80.688065753424652</v>
      </c>
      <c r="BN314" s="128">
        <f t="shared" si="1049"/>
        <v>-81.15688767123288</v>
      </c>
      <c r="BO314" s="1000">
        <f t="shared" si="1050" ref="BO314:BR314">SUM(BO308:BO313)</f>
        <v>-319.46983561643833</v>
      </c>
      <c r="BP314" s="1000">
        <f t="shared" si="1050"/>
        <v>-326.892</v>
      </c>
      <c r="BQ314" s="1000">
        <f t="shared" si="1050"/>
        <v>-334.33199999999999</v>
      </c>
      <c r="BR314" s="1000">
        <f t="shared" si="1050"/>
        <v>-341.77199999999999</v>
      </c>
      <c r="BS314" s="57"/>
    </row>
    <row r="315" spans="1:71" s="300" customFormat="1" ht="15">
      <c r="A315" s="304" t="s">
        <v>428</v>
      </c>
      <c r="B315" s="233"/>
      <c r="C315" s="988">
        <v>141</v>
      </c>
      <c r="D315" s="988">
        <v>128</v>
      </c>
      <c r="E315" s="988">
        <v>123</v>
      </c>
      <c r="F315" s="988">
        <v>136</v>
      </c>
      <c r="G315" s="988">
        <v>220</v>
      </c>
      <c r="H315" s="897">
        <v>32</v>
      </c>
      <c r="I315" s="897">
        <v>32</v>
      </c>
      <c r="J315" s="897">
        <v>28</v>
      </c>
      <c r="K315" s="305">
        <f>L315-SUM(H315,I315,J315)</f>
        <v>32</v>
      </c>
      <c r="L315" s="988">
        <v>124</v>
      </c>
      <c r="M315" s="897">
        <v>26</v>
      </c>
      <c r="N315" s="897">
        <v>28</v>
      </c>
      <c r="O315" s="897">
        <v>28</v>
      </c>
      <c r="P315" s="305">
        <f>Q315-SUM(M315,N315,O315)</f>
        <v>27</v>
      </c>
      <c r="Q315" s="988">
        <v>109</v>
      </c>
      <c r="R315" s="897">
        <v>25</v>
      </c>
      <c r="S315" s="897">
        <v>26</v>
      </c>
      <c r="T315" s="897">
        <v>26</v>
      </c>
      <c r="U315" s="305">
        <f>V315-SUM(R315,S315,T315)</f>
        <v>29</v>
      </c>
      <c r="V315" s="988">
        <v>106</v>
      </c>
      <c r="W315" s="897">
        <v>30</v>
      </c>
      <c r="X315" s="897">
        <v>31</v>
      </c>
      <c r="Y315" s="897">
        <v>60</v>
      </c>
      <c r="Z315" s="305">
        <f>AA315-SUM(W315,X315,Y315)</f>
        <v>43</v>
      </c>
      <c r="AA315" s="988">
        <v>164</v>
      </c>
      <c r="AB315" s="897">
        <v>17</v>
      </c>
      <c r="AC315" s="897">
        <v>18</v>
      </c>
      <c r="AD315" s="897">
        <v>21</v>
      </c>
      <c r="AE315" s="305">
        <f>AF315-SUM(AB315,AC315,AD315)</f>
        <v>18</v>
      </c>
      <c r="AF315" s="988">
        <v>74</v>
      </c>
      <c r="AG315" s="897">
        <v>20</v>
      </c>
      <c r="AH315" s="897">
        <v>19</v>
      </c>
      <c r="AI315" s="897">
        <v>19</v>
      </c>
      <c r="AJ315" s="305">
        <f>AK315-SUM(AG315,AH315,AI315)</f>
        <v>20</v>
      </c>
      <c r="AK315" s="988">
        <v>78</v>
      </c>
      <c r="AL315" s="897">
        <v>21</v>
      </c>
      <c r="AM315" s="897">
        <v>20</v>
      </c>
      <c r="AN315" s="897">
        <v>5</v>
      </c>
      <c r="AO315" s="305">
        <f>AP315-SUM(AL315,AM315,AN315)</f>
        <v>22</v>
      </c>
      <c r="AP315" s="988">
        <v>68</v>
      </c>
      <c r="AQ315" s="897">
        <v>26</v>
      </c>
      <c r="AR315" s="897">
        <v>23</v>
      </c>
      <c r="AS315" s="897">
        <v>19</v>
      </c>
      <c r="AT315" s="305">
        <f>AU315-SUM(AQ315,AR315,AS315)</f>
        <v>22</v>
      </c>
      <c r="AU315" s="988">
        <v>90</v>
      </c>
      <c r="AV315" s="897">
        <v>23</v>
      </c>
      <c r="AW315" s="897">
        <v>26</v>
      </c>
      <c r="AX315" s="897">
        <v>19</v>
      </c>
      <c r="AY315" s="305">
        <f>AZ315-SUM(AV315,AW315,AX315)</f>
        <v>24</v>
      </c>
      <c r="AZ315" s="988">
        <v>92</v>
      </c>
      <c r="BA315" s="897">
        <v>18</v>
      </c>
      <c r="BB315" s="897">
        <v>20</v>
      </c>
      <c r="BC315" s="897">
        <v>18</v>
      </c>
      <c r="BD315" s="305">
        <f>BE315-SUM(BA315,BB315,BC315)</f>
        <v>43</v>
      </c>
      <c r="BE315" s="988">
        <v>99</v>
      </c>
      <c r="BF315" s="897">
        <v>25</v>
      </c>
      <c r="BG315" s="897">
        <v>29</v>
      </c>
      <c r="BH315" s="898">
        <v>23</v>
      </c>
      <c r="BI315" s="92"/>
      <c r="BJ315" s="989"/>
      <c r="BK315" s="92"/>
      <c r="BL315" s="92"/>
      <c r="BM315" s="92"/>
      <c r="BN315" s="92"/>
      <c r="BO315" s="989"/>
      <c r="BP315" s="989"/>
      <c r="BQ315" s="989"/>
      <c r="BR315" s="989"/>
      <c r="BS315" s="305"/>
    </row>
    <row r="316" spans="1:71" s="300" customFormat="1" ht="15">
      <c r="A316" s="304" t="s">
        <v>429</v>
      </c>
      <c r="B316" s="233"/>
      <c r="C316" s="989"/>
      <c r="D316" s="989"/>
      <c r="E316" s="989"/>
      <c r="F316" s="989"/>
      <c r="G316" s="988">
        <v>-17</v>
      </c>
      <c r="H316" s="897">
        <v>-13</v>
      </c>
      <c r="I316" s="897">
        <v>-31</v>
      </c>
      <c r="J316" s="897">
        <v>-31</v>
      </c>
      <c r="K316" s="305">
        <f>L316-SUM(H316,I316,J316)</f>
        <v>-29</v>
      </c>
      <c r="L316" s="988">
        <v>-104</v>
      </c>
      <c r="M316" s="897">
        <v>-29</v>
      </c>
      <c r="N316" s="897">
        <v>-29</v>
      </c>
      <c r="O316" s="897">
        <v>-29</v>
      </c>
      <c r="P316" s="305">
        <f>Q316-SUM(M316,N316,O316)</f>
        <v>-29</v>
      </c>
      <c r="Q316" s="988">
        <v>-116</v>
      </c>
      <c r="R316" s="897">
        <v>-29</v>
      </c>
      <c r="S316" s="897">
        <v>-29</v>
      </c>
      <c r="T316" s="897">
        <v>-29</v>
      </c>
      <c r="U316" s="305">
        <f>V316-SUM(R316,S316,T316)</f>
        <v>-29</v>
      </c>
      <c r="V316" s="988">
        <v>-116</v>
      </c>
      <c r="W316" s="897">
        <v>-29</v>
      </c>
      <c r="X316" s="897">
        <v>-29</v>
      </c>
      <c r="Y316" s="897">
        <v>-29</v>
      </c>
      <c r="Z316" s="305">
        <f>AA316-SUM(W316,X316,Y316)</f>
        <v>-29</v>
      </c>
      <c r="AA316" s="988">
        <v>-116</v>
      </c>
      <c r="AB316" s="897">
        <v>-29</v>
      </c>
      <c r="AC316" s="897">
        <v>-39</v>
      </c>
      <c r="AD316" s="897">
        <v>-37</v>
      </c>
      <c r="AE316" s="305">
        <f>AF316-SUM(AB316,AC316,AD316)</f>
        <v>-43</v>
      </c>
      <c r="AF316" s="988">
        <v>-148</v>
      </c>
      <c r="AG316" s="897">
        <v>-31</v>
      </c>
      <c r="AH316" s="897">
        <v>-30</v>
      </c>
      <c r="AI316" s="897">
        <v>-42</v>
      </c>
      <c r="AJ316" s="305">
        <f>AK316-SUM(AG316,AH316,AI316)</f>
        <v>-66</v>
      </c>
      <c r="AK316" s="988">
        <v>-169</v>
      </c>
      <c r="AL316" s="897">
        <v>-36</v>
      </c>
      <c r="AM316" s="897">
        <v>-26</v>
      </c>
      <c r="AN316" s="897">
        <v>-27</v>
      </c>
      <c r="AO316" s="305">
        <f>AP316-SUM(AL316,AM316,AN316)</f>
        <v>-26</v>
      </c>
      <c r="AP316" s="988">
        <v>-115</v>
      </c>
      <c r="AQ316" s="897">
        <v>-27</v>
      </c>
      <c r="AR316" s="897">
        <v>-30</v>
      </c>
      <c r="AS316" s="897">
        <v>-30</v>
      </c>
      <c r="AT316" s="305">
        <f>AU316-SUM(AQ316,AR316,AS316)</f>
        <v>-27</v>
      </c>
      <c r="AU316" s="988">
        <v>-114</v>
      </c>
      <c r="AV316" s="897">
        <v>-26</v>
      </c>
      <c r="AW316" s="897">
        <v>-27</v>
      </c>
      <c r="AX316" s="897">
        <v>-26</v>
      </c>
      <c r="AY316" s="305">
        <f>AZ316-SUM(AV316,AW316,AX316)</f>
        <v>-26</v>
      </c>
      <c r="AZ316" s="988">
        <v>-105</v>
      </c>
      <c r="BA316" s="897">
        <v>-26</v>
      </c>
      <c r="BB316" s="897">
        <v>-37</v>
      </c>
      <c r="BC316" s="897">
        <v>-36</v>
      </c>
      <c r="BD316" s="305">
        <f>BE316-SUM(BA316,BB316,BC316)</f>
        <v>-29</v>
      </c>
      <c r="BE316" s="990">
        <v>-128</v>
      </c>
      <c r="BF316" s="897">
        <v>-29</v>
      </c>
      <c r="BG316" s="897">
        <v>-30</v>
      </c>
      <c r="BH316" s="898">
        <v>-29</v>
      </c>
      <c r="BI316" s="92"/>
      <c r="BJ316" s="989"/>
      <c r="BK316" s="92"/>
      <c r="BL316" s="92"/>
      <c r="BM316" s="92"/>
      <c r="BN316" s="92"/>
      <c r="BO316" s="989"/>
      <c r="BP316" s="989"/>
      <c r="BQ316" s="989"/>
      <c r="BR316" s="989"/>
      <c r="BS316" s="305"/>
    </row>
    <row r="317" spans="1:71" s="51" customFormat="1" ht="15">
      <c r="A317" s="87" t="s">
        <v>430</v>
      </c>
      <c r="B317" s="164"/>
      <c r="C317" s="996">
        <f t="shared" si="1051" ref="C317:AH317">SUM(C314:C316)-C310</f>
        <v>-217</v>
      </c>
      <c r="D317" s="996">
        <f t="shared" si="1051"/>
        <v>-191</v>
      </c>
      <c r="E317" s="996">
        <f t="shared" si="1051"/>
        <v>-216</v>
      </c>
      <c r="F317" s="996">
        <f t="shared" si="1051"/>
        <v>-206</v>
      </c>
      <c r="G317" s="996">
        <f t="shared" si="1051"/>
        <v>-385</v>
      </c>
      <c r="H317" s="89">
        <f t="shared" si="1051"/>
        <v>-69</v>
      </c>
      <c r="I317" s="89">
        <f t="shared" si="1051"/>
        <v>-84</v>
      </c>
      <c r="J317" s="89">
        <f t="shared" si="1051"/>
        <v>-80</v>
      </c>
      <c r="K317" s="89">
        <f t="shared" si="1051"/>
        <v>-79</v>
      </c>
      <c r="L317" s="996">
        <f t="shared" si="1051"/>
        <v>-312</v>
      </c>
      <c r="M317" s="89">
        <f t="shared" si="1051"/>
        <v>-73</v>
      </c>
      <c r="N317" s="89">
        <f t="shared" si="1051"/>
        <v>-75</v>
      </c>
      <c r="O317" s="89">
        <f t="shared" si="1051"/>
        <v>-78</v>
      </c>
      <c r="P317" s="89">
        <f t="shared" si="1051"/>
        <v>-72</v>
      </c>
      <c r="Q317" s="996">
        <f t="shared" si="1051"/>
        <v>-298</v>
      </c>
      <c r="R317" s="89">
        <f t="shared" si="1051"/>
        <v>-73</v>
      </c>
      <c r="S317" s="89">
        <f t="shared" si="1051"/>
        <v>-71</v>
      </c>
      <c r="T317" s="89">
        <f t="shared" si="1051"/>
        <v>-72</v>
      </c>
      <c r="U317" s="89">
        <f t="shared" si="1051"/>
        <v>-76</v>
      </c>
      <c r="V317" s="996">
        <f t="shared" si="1051"/>
        <v>-292</v>
      </c>
      <c r="W317" s="89">
        <f t="shared" si="1051"/>
        <v>-81</v>
      </c>
      <c r="X317" s="89">
        <f t="shared" si="1051"/>
        <v>-80</v>
      </c>
      <c r="Y317" s="89">
        <f t="shared" si="1051"/>
        <v>-134</v>
      </c>
      <c r="Z317" s="89">
        <f t="shared" si="1051"/>
        <v>-104</v>
      </c>
      <c r="AA317" s="996">
        <f t="shared" si="1051"/>
        <v>-399</v>
      </c>
      <c r="AB317" s="89">
        <f t="shared" si="1051"/>
        <v>-90</v>
      </c>
      <c r="AC317" s="89">
        <f t="shared" si="1051"/>
        <v>-95</v>
      </c>
      <c r="AD317" s="89">
        <f t="shared" si="1051"/>
        <v>-106</v>
      </c>
      <c r="AE317" s="89">
        <f t="shared" si="1051"/>
        <v>-115</v>
      </c>
      <c r="AF317" s="996">
        <f t="shared" si="1051"/>
        <v>-406</v>
      </c>
      <c r="AG317" s="89">
        <f t="shared" si="1051"/>
        <v>-103</v>
      </c>
      <c r="AH317" s="89">
        <f t="shared" si="1051"/>
        <v>-98</v>
      </c>
      <c r="AI317" s="89">
        <f t="shared" si="1052" ref="AI317:BF317">SUM(AI314:AI316)-AI310</f>
        <v>-101</v>
      </c>
      <c r="AJ317" s="89">
        <f t="shared" si="1052"/>
        <v>-136</v>
      </c>
      <c r="AK317" s="996">
        <f t="shared" si="1052"/>
        <v>-438</v>
      </c>
      <c r="AL317" s="89">
        <f t="shared" si="1052"/>
        <v>-107</v>
      </c>
      <c r="AM317" s="89">
        <f t="shared" si="1052"/>
        <v>-99</v>
      </c>
      <c r="AN317" s="89">
        <f t="shared" si="1052"/>
        <v>-111</v>
      </c>
      <c r="AO317" s="89">
        <f t="shared" si="1052"/>
        <v>-111</v>
      </c>
      <c r="AP317" s="996">
        <f t="shared" si="1052"/>
        <v>-428</v>
      </c>
      <c r="AQ317" s="89">
        <f t="shared" si="1052"/>
        <v>-123</v>
      </c>
      <c r="AR317" s="89">
        <f t="shared" si="1052"/>
        <v>-112</v>
      </c>
      <c r="AS317" s="89">
        <f t="shared" si="1052"/>
        <v>-95</v>
      </c>
      <c r="AT317" s="89">
        <f t="shared" si="1052"/>
        <v>-103</v>
      </c>
      <c r="AU317" s="996">
        <f t="shared" si="1052"/>
        <v>-433</v>
      </c>
      <c r="AV317" s="89">
        <f t="shared" si="1052"/>
        <v>-111</v>
      </c>
      <c r="AW317" s="89">
        <f t="shared" si="1052"/>
        <v>-107</v>
      </c>
      <c r="AX317" s="89">
        <f t="shared" si="1052"/>
        <v>-104</v>
      </c>
      <c r="AY317" s="89">
        <f t="shared" si="1052"/>
        <v>-100</v>
      </c>
      <c r="AZ317" s="996">
        <f t="shared" si="1052"/>
        <v>-422</v>
      </c>
      <c r="BA317" s="89">
        <f t="shared" si="1052"/>
        <v>-89</v>
      </c>
      <c r="BB317" s="89">
        <f t="shared" si="1052"/>
        <v>-111</v>
      </c>
      <c r="BC317" s="89">
        <f t="shared" si="1052"/>
        <v>-110</v>
      </c>
      <c r="BD317" s="89">
        <f t="shared" si="1052"/>
        <v>-102</v>
      </c>
      <c r="BE317" s="999">
        <f t="shared" si="1052"/>
        <v>-412</v>
      </c>
      <c r="BF317" s="89">
        <f t="shared" si="1052"/>
        <v>-106</v>
      </c>
      <c r="BG317" s="89">
        <f>SUM(BG314:BG316)-BG310</f>
        <v>-104</v>
      </c>
      <c r="BH317" s="742">
        <f>SUM(BH314:BH316)-BH310</f>
        <v>-110</v>
      </c>
      <c r="BI317" s="90"/>
      <c r="BJ317" s="997"/>
      <c r="BK317" s="90"/>
      <c r="BL317" s="90"/>
      <c r="BM317" s="90"/>
      <c r="BN317" s="90"/>
      <c r="BO317" s="997"/>
      <c r="BP317" s="997"/>
      <c r="BQ317" s="997"/>
      <c r="BR317" s="997"/>
      <c r="BS317" s="57"/>
    </row>
    <row r="318" spans="1:71" s="300" customFormat="1" ht="15" hidden="1" outlineLevel="1">
      <c r="A318" s="304" t="s">
        <v>431</v>
      </c>
      <c r="B318" s="233"/>
      <c r="C318" s="988">
        <v>11</v>
      </c>
      <c r="D318" s="988">
        <v>7</v>
      </c>
      <c r="E318" s="988">
        <v>20</v>
      </c>
      <c r="F318" s="988">
        <v>3</v>
      </c>
      <c r="G318" s="989"/>
      <c r="H318" s="897">
        <v>1</v>
      </c>
      <c r="I318" s="897">
        <v>-1</v>
      </c>
      <c r="J318" s="92"/>
      <c r="K318" s="305">
        <f t="shared" si="1053" ref="K318:K325">L318-SUM(H318,I318,J318)</f>
        <v>0</v>
      </c>
      <c r="L318" s="989"/>
      <c r="M318" s="92"/>
      <c r="N318" s="92"/>
      <c r="O318" s="92"/>
      <c r="P318" s="305">
        <f t="shared" si="1054" ref="P318:P325">Q318-SUM(M318,N318,O318)</f>
        <v>0</v>
      </c>
      <c r="Q318" s="988">
        <v>0</v>
      </c>
      <c r="R318" s="897">
        <v>0</v>
      </c>
      <c r="S318" s="897">
        <v>-1</v>
      </c>
      <c r="T318" s="897">
        <v>0</v>
      </c>
      <c r="U318" s="305">
        <f t="shared" si="1055" ref="U318:U325">V318-SUM(R318,S318,T318)</f>
        <v>-1</v>
      </c>
      <c r="V318" s="988">
        <v>-2</v>
      </c>
      <c r="W318" s="897">
        <v>0</v>
      </c>
      <c r="X318" s="897">
        <v>0</v>
      </c>
      <c r="Y318" s="897">
        <v>0</v>
      </c>
      <c r="Z318" s="305">
        <f t="shared" si="1056" ref="Z318:Z325">AA318-SUM(W318,X318,Y318)</f>
        <v>-4</v>
      </c>
      <c r="AA318" s="988">
        <v>-4</v>
      </c>
      <c r="AB318" s="897">
        <v>-1</v>
      </c>
      <c r="AC318" s="897">
        <v>-9</v>
      </c>
      <c r="AD318" s="897">
        <v>0</v>
      </c>
      <c r="AE318" s="305">
        <f t="shared" si="1057" ref="AE318:AE325">AF318-SUM(AB318,AC318,AD318)</f>
        <v>-20</v>
      </c>
      <c r="AF318" s="988">
        <v>-30</v>
      </c>
      <c r="AG318" s="897">
        <v>1</v>
      </c>
      <c r="AH318" s="897">
        <v>7</v>
      </c>
      <c r="AI318" s="897">
        <v>2</v>
      </c>
      <c r="AJ318" s="305">
        <f t="shared" si="1058" ref="AJ318:AJ325">AK318-SUM(AG318,AH318,AI318)</f>
        <v>9</v>
      </c>
      <c r="AK318" s="988">
        <v>19</v>
      </c>
      <c r="AL318" s="897">
        <v>-17</v>
      </c>
      <c r="AM318" s="897">
        <v>23</v>
      </c>
      <c r="AN318" s="897">
        <v>7</v>
      </c>
      <c r="AO318" s="305">
        <f t="shared" si="1059" ref="AO318:AO325">AP318-SUM(AL318,AM318,AN318)</f>
        <v>34</v>
      </c>
      <c r="AP318" s="988">
        <v>47</v>
      </c>
      <c r="AQ318" s="92"/>
      <c r="AR318" s="92"/>
      <c r="AS318" s="92"/>
      <c r="AT318" s="92"/>
      <c r="AU318" s="989"/>
      <c r="AV318" s="92"/>
      <c r="AW318" s="92"/>
      <c r="AX318" s="92"/>
      <c r="AY318" s="92"/>
      <c r="AZ318" s="989"/>
      <c r="BA318" s="92"/>
      <c r="BB318" s="92"/>
      <c r="BC318" s="92"/>
      <c r="BD318" s="92"/>
      <c r="BE318" s="989"/>
      <c r="BF318" s="92"/>
      <c r="BG318" s="92"/>
      <c r="BH318" s="464"/>
      <c r="BI318" s="92"/>
      <c r="BJ318" s="989"/>
      <c r="BK318" s="92"/>
      <c r="BL318" s="92"/>
      <c r="BM318" s="92"/>
      <c r="BN318" s="92"/>
      <c r="BO318" s="989"/>
      <c r="BP318" s="989"/>
      <c r="BQ318" s="989"/>
      <c r="BR318" s="989"/>
      <c r="BS318" s="305"/>
    </row>
    <row r="319" spans="1:71" s="300" customFormat="1" ht="15" hidden="1" outlineLevel="1">
      <c r="A319" s="304" t="s">
        <v>432</v>
      </c>
      <c r="B319" s="233"/>
      <c r="C319" s="989"/>
      <c r="D319" s="989"/>
      <c r="E319" s="989"/>
      <c r="F319" s="989"/>
      <c r="G319" s="988">
        <v>-319</v>
      </c>
      <c r="H319" s="92"/>
      <c r="I319" s="92"/>
      <c r="J319" s="92"/>
      <c r="K319" s="305">
        <f t="shared" si="1053"/>
        <v>0</v>
      </c>
      <c r="L319" s="989"/>
      <c r="M319" s="92"/>
      <c r="N319" s="92"/>
      <c r="O319" s="92"/>
      <c r="P319" s="305">
        <f t="shared" si="1054"/>
        <v>0</v>
      </c>
      <c r="Q319" s="989"/>
      <c r="R319" s="92"/>
      <c r="S319" s="92"/>
      <c r="T319" s="92"/>
      <c r="U319" s="305">
        <f t="shared" si="1055"/>
        <v>0</v>
      </c>
      <c r="V319" s="989"/>
      <c r="W319" s="92"/>
      <c r="X319" s="92"/>
      <c r="Y319" s="92"/>
      <c r="Z319" s="305">
        <f t="shared" si="1056"/>
        <v>0</v>
      </c>
      <c r="AA319" s="989"/>
      <c r="AB319" s="92"/>
      <c r="AC319" s="92"/>
      <c r="AD319" s="92"/>
      <c r="AE319" s="305">
        <f t="shared" si="1057"/>
        <v>0</v>
      </c>
      <c r="AF319" s="989"/>
      <c r="AG319" s="92"/>
      <c r="AH319" s="92"/>
      <c r="AI319" s="92"/>
      <c r="AJ319" s="305">
        <f t="shared" si="1058"/>
        <v>0</v>
      </c>
      <c r="AK319" s="989"/>
      <c r="AL319" s="92"/>
      <c r="AM319" s="92"/>
      <c r="AN319" s="92"/>
      <c r="AO319" s="305">
        <f t="shared" si="1059"/>
        <v>0</v>
      </c>
      <c r="AP319" s="989"/>
      <c r="AQ319" s="92"/>
      <c r="AR319" s="92"/>
      <c r="AS319" s="92"/>
      <c r="AT319" s="92"/>
      <c r="AU319" s="989"/>
      <c r="AV319" s="92"/>
      <c r="AW319" s="92"/>
      <c r="AX319" s="92"/>
      <c r="AY319" s="92"/>
      <c r="AZ319" s="989"/>
      <c r="BA319" s="92"/>
      <c r="BB319" s="92"/>
      <c r="BC319" s="92"/>
      <c r="BD319" s="92"/>
      <c r="BE319" s="989"/>
      <c r="BF319" s="92"/>
      <c r="BG319" s="92"/>
      <c r="BH319" s="464"/>
      <c r="BI319" s="92"/>
      <c r="BJ319" s="989"/>
      <c r="BK319" s="92"/>
      <c r="BL319" s="92"/>
      <c r="BM319" s="92"/>
      <c r="BN319" s="92"/>
      <c r="BO319" s="989"/>
      <c r="BP319" s="989"/>
      <c r="BQ319" s="989"/>
      <c r="BR319" s="989"/>
      <c r="BS319" s="305"/>
    </row>
    <row r="320" spans="1:71" s="300" customFormat="1" ht="15" hidden="1" outlineLevel="1">
      <c r="A320" s="304" t="s">
        <v>433</v>
      </c>
      <c r="B320" s="233"/>
      <c r="C320" s="989"/>
      <c r="D320" s="989"/>
      <c r="E320" s="989"/>
      <c r="F320" s="989"/>
      <c r="G320" s="988">
        <v>118</v>
      </c>
      <c r="H320" s="92"/>
      <c r="I320" s="92"/>
      <c r="J320" s="92"/>
      <c r="K320" s="305">
        <f t="shared" si="1053"/>
        <v>0</v>
      </c>
      <c r="L320" s="989"/>
      <c r="M320" s="92"/>
      <c r="N320" s="92"/>
      <c r="O320" s="92"/>
      <c r="P320" s="305">
        <f t="shared" si="1054"/>
        <v>0</v>
      </c>
      <c r="Q320" s="989"/>
      <c r="R320" s="92"/>
      <c r="S320" s="92"/>
      <c r="T320" s="92"/>
      <c r="U320" s="305">
        <f t="shared" si="1055"/>
        <v>0</v>
      </c>
      <c r="V320" s="989"/>
      <c r="W320" s="92"/>
      <c r="X320" s="92"/>
      <c r="Y320" s="92"/>
      <c r="Z320" s="305">
        <f t="shared" si="1056"/>
        <v>0</v>
      </c>
      <c r="AA320" s="989"/>
      <c r="AB320" s="92"/>
      <c r="AC320" s="92"/>
      <c r="AD320" s="92"/>
      <c r="AE320" s="305">
        <f t="shared" si="1057"/>
        <v>0</v>
      </c>
      <c r="AF320" s="989"/>
      <c r="AG320" s="92"/>
      <c r="AH320" s="92"/>
      <c r="AI320" s="92"/>
      <c r="AJ320" s="305">
        <f t="shared" si="1058"/>
        <v>0</v>
      </c>
      <c r="AK320" s="989"/>
      <c r="AL320" s="92"/>
      <c r="AM320" s="92"/>
      <c r="AN320" s="92"/>
      <c r="AO320" s="305">
        <f t="shared" si="1059"/>
        <v>0</v>
      </c>
      <c r="AP320" s="989"/>
      <c r="AQ320" s="92"/>
      <c r="AR320" s="92"/>
      <c r="AS320" s="92"/>
      <c r="AT320" s="92"/>
      <c r="AU320" s="989"/>
      <c r="AV320" s="92"/>
      <c r="AW320" s="92"/>
      <c r="AX320" s="92"/>
      <c r="AY320" s="92"/>
      <c r="AZ320" s="989"/>
      <c r="BA320" s="92"/>
      <c r="BB320" s="92"/>
      <c r="BC320" s="92"/>
      <c r="BD320" s="92"/>
      <c r="BE320" s="989"/>
      <c r="BF320" s="92"/>
      <c r="BG320" s="92"/>
      <c r="BH320" s="464"/>
      <c r="BI320" s="92"/>
      <c r="BJ320" s="989"/>
      <c r="BK320" s="92"/>
      <c r="BL320" s="92"/>
      <c r="BM320" s="92"/>
      <c r="BN320" s="92"/>
      <c r="BO320" s="989"/>
      <c r="BP320" s="989"/>
      <c r="BQ320" s="989"/>
      <c r="BR320" s="989"/>
      <c r="BS320" s="305"/>
    </row>
    <row r="321" spans="1:71" s="300" customFormat="1" ht="15" customHeight="1" hidden="1" outlineLevel="1">
      <c r="A321" s="304" t="s">
        <v>434</v>
      </c>
      <c r="B321" s="233"/>
      <c r="C321" s="989"/>
      <c r="D321" s="989"/>
      <c r="E321" s="989"/>
      <c r="F321" s="989"/>
      <c r="G321" s="989"/>
      <c r="H321" s="92"/>
      <c r="I321" s="92"/>
      <c r="J321" s="92"/>
      <c r="K321" s="305">
        <f t="shared" si="1053"/>
        <v>0</v>
      </c>
      <c r="L321" s="989"/>
      <c r="M321" s="92"/>
      <c r="N321" s="92"/>
      <c r="O321" s="92"/>
      <c r="P321" s="305">
        <f t="shared" si="1054"/>
        <v>0</v>
      </c>
      <c r="Q321" s="989"/>
      <c r="R321" s="92"/>
      <c r="S321" s="92"/>
      <c r="T321" s="92"/>
      <c r="U321" s="305">
        <f t="shared" si="1055"/>
        <v>0</v>
      </c>
      <c r="V321" s="989"/>
      <c r="W321" s="92"/>
      <c r="X321" s="92"/>
      <c r="Y321" s="92"/>
      <c r="Z321" s="305">
        <f t="shared" si="1056"/>
        <v>0</v>
      </c>
      <c r="AA321" s="989"/>
      <c r="AB321" s="897">
        <v>-11</v>
      </c>
      <c r="AC321" s="897">
        <v>6</v>
      </c>
      <c r="AD321" s="897">
        <v>30</v>
      </c>
      <c r="AE321" s="305">
        <f t="shared" si="1057"/>
        <v>-395</v>
      </c>
      <c r="AF321" s="988">
        <v>-370</v>
      </c>
      <c r="AG321" s="897">
        <v>-11</v>
      </c>
      <c r="AH321" s="897">
        <v>-99</v>
      </c>
      <c r="AI321" s="897">
        <v>-179</v>
      </c>
      <c r="AJ321" s="305">
        <f t="shared" si="1058"/>
        <v>199</v>
      </c>
      <c r="AK321" s="988">
        <v>-90</v>
      </c>
      <c r="AL321" s="897">
        <v>-251</v>
      </c>
      <c r="AM321" s="897">
        <v>-58</v>
      </c>
      <c r="AN321" s="897">
        <v>56</v>
      </c>
      <c r="AO321" s="305">
        <f t="shared" si="1059"/>
        <v>292</v>
      </c>
      <c r="AP321" s="988">
        <v>39</v>
      </c>
      <c r="AQ321" s="92"/>
      <c r="AR321" s="92"/>
      <c r="AS321" s="92"/>
      <c r="AT321" s="92"/>
      <c r="AU321" s="989"/>
      <c r="AV321" s="92"/>
      <c r="AW321" s="92"/>
      <c r="AX321" s="92"/>
      <c r="AY321" s="92"/>
      <c r="AZ321" s="989"/>
      <c r="BA321" s="92"/>
      <c r="BB321" s="92"/>
      <c r="BC321" s="92"/>
      <c r="BD321" s="92"/>
      <c r="BE321" s="989"/>
      <c r="BF321" s="92"/>
      <c r="BG321" s="92"/>
      <c r="BH321" s="464"/>
      <c r="BI321" s="92"/>
      <c r="BJ321" s="989"/>
      <c r="BK321" s="92"/>
      <c r="BL321" s="92"/>
      <c r="BM321" s="92"/>
      <c r="BN321" s="92"/>
      <c r="BO321" s="989"/>
      <c r="BP321" s="989"/>
      <c r="BQ321" s="989"/>
      <c r="BR321" s="989"/>
      <c r="BS321" s="305"/>
    </row>
    <row r="322" spans="1:71" s="300" customFormat="1" ht="15" customHeight="1" hidden="1" outlineLevel="1">
      <c r="A322" s="304" t="s">
        <v>652</v>
      </c>
      <c r="B322" s="233"/>
      <c r="C322" s="989"/>
      <c r="D322" s="989"/>
      <c r="E322" s="989"/>
      <c r="F322" s="989"/>
      <c r="G322" s="989"/>
      <c r="H322" s="92"/>
      <c r="I322" s="92"/>
      <c r="J322" s="92"/>
      <c r="K322" s="305">
        <f t="shared" si="1053"/>
        <v>0</v>
      </c>
      <c r="L322" s="989"/>
      <c r="M322" s="92"/>
      <c r="N322" s="92"/>
      <c r="O322" s="92"/>
      <c r="P322" s="305">
        <f t="shared" si="1054"/>
        <v>0</v>
      </c>
      <c r="Q322" s="989"/>
      <c r="R322" s="92"/>
      <c r="S322" s="92"/>
      <c r="T322" s="92"/>
      <c r="U322" s="305">
        <f t="shared" si="1055"/>
        <v>0</v>
      </c>
      <c r="V322" s="989"/>
      <c r="W322" s="92"/>
      <c r="X322" s="92"/>
      <c r="Y322" s="92"/>
      <c r="Z322" s="305">
        <f t="shared" si="1056"/>
        <v>0</v>
      </c>
      <c r="AA322" s="989"/>
      <c r="AB322" s="92"/>
      <c r="AC322" s="92"/>
      <c r="AD322" s="92"/>
      <c r="AE322" s="305">
        <f t="shared" si="1057"/>
        <v>0</v>
      </c>
      <c r="AF322" s="989"/>
      <c r="AG322" s="92"/>
      <c r="AH322" s="92"/>
      <c r="AI322" s="92"/>
      <c r="AJ322" s="305">
        <f t="shared" si="1058"/>
        <v>0</v>
      </c>
      <c r="AK322" s="989"/>
      <c r="AL322" s="92"/>
      <c r="AM322" s="92"/>
      <c r="AN322" s="897">
        <v>7</v>
      </c>
      <c r="AO322" s="305">
        <f t="shared" si="1059"/>
        <v>0</v>
      </c>
      <c r="AP322" s="988">
        <v>7</v>
      </c>
      <c r="AQ322" s="92"/>
      <c r="AR322" s="92"/>
      <c r="AS322" s="92"/>
      <c r="AT322" s="92"/>
      <c r="AU322" s="989"/>
      <c r="AV322" s="92"/>
      <c r="AW322" s="92"/>
      <c r="AX322" s="92"/>
      <c r="AY322" s="92"/>
      <c r="AZ322" s="989"/>
      <c r="BA322" s="92"/>
      <c r="BB322" s="92"/>
      <c r="BC322" s="92"/>
      <c r="BD322" s="92"/>
      <c r="BE322" s="989"/>
      <c r="BF322" s="92"/>
      <c r="BG322" s="92"/>
      <c r="BH322" s="464"/>
      <c r="BI322" s="92"/>
      <c r="BJ322" s="989"/>
      <c r="BK322" s="92"/>
      <c r="BL322" s="92"/>
      <c r="BM322" s="92"/>
      <c r="BN322" s="92"/>
      <c r="BO322" s="989"/>
      <c r="BP322" s="989"/>
      <c r="BQ322" s="989"/>
      <c r="BR322" s="989"/>
      <c r="BS322" s="305"/>
    </row>
    <row r="323" spans="1:71" s="300" customFormat="1" ht="15" customHeight="1" hidden="1" outlineLevel="1">
      <c r="A323" s="304" t="s">
        <v>435</v>
      </c>
      <c r="B323" s="233"/>
      <c r="C323" s="989"/>
      <c r="D323" s="989"/>
      <c r="E323" s="988">
        <v>-10</v>
      </c>
      <c r="F323" s="989"/>
      <c r="G323" s="989"/>
      <c r="H323" s="92"/>
      <c r="I323" s="92"/>
      <c r="J323" s="92"/>
      <c r="K323" s="305">
        <f t="shared" si="1053"/>
        <v>0</v>
      </c>
      <c r="L323" s="989"/>
      <c r="M323" s="92"/>
      <c r="N323" s="92"/>
      <c r="O323" s="92"/>
      <c r="P323" s="305">
        <f t="shared" si="1054"/>
        <v>0</v>
      </c>
      <c r="Q323" s="989"/>
      <c r="R323" s="897">
        <v>0</v>
      </c>
      <c r="S323" s="897">
        <v>0</v>
      </c>
      <c r="T323" s="897">
        <v>0</v>
      </c>
      <c r="U323" s="305">
        <f t="shared" si="1055"/>
        <v>0</v>
      </c>
      <c r="V323" s="988">
        <v>0</v>
      </c>
      <c r="W323" s="897">
        <v>-13</v>
      </c>
      <c r="X323" s="897">
        <v>0</v>
      </c>
      <c r="Y323" s="897">
        <v>-1</v>
      </c>
      <c r="Z323" s="305">
        <f t="shared" si="1056"/>
        <v>0</v>
      </c>
      <c r="AA323" s="988">
        <v>-14</v>
      </c>
      <c r="AB323" s="897">
        <v>0</v>
      </c>
      <c r="AC323" s="897">
        <v>0</v>
      </c>
      <c r="AD323" s="897">
        <v>0</v>
      </c>
      <c r="AE323" s="305">
        <f t="shared" si="1057"/>
        <v>-7</v>
      </c>
      <c r="AF323" s="988">
        <v>-7</v>
      </c>
      <c r="AG323" s="897">
        <v>0</v>
      </c>
      <c r="AH323" s="897">
        <v>0</v>
      </c>
      <c r="AI323" s="897">
        <v>0</v>
      </c>
      <c r="AJ323" s="305">
        <f t="shared" si="1058"/>
        <v>0</v>
      </c>
      <c r="AK323" s="988">
        <v>0</v>
      </c>
      <c r="AL323" s="92"/>
      <c r="AM323" s="92"/>
      <c r="AN323" s="92"/>
      <c r="AO323" s="305">
        <f t="shared" si="1059"/>
        <v>0</v>
      </c>
      <c r="AP323" s="989"/>
      <c r="AQ323" s="92"/>
      <c r="AR323" s="92"/>
      <c r="AS323" s="92"/>
      <c r="AT323" s="92"/>
      <c r="AU323" s="989"/>
      <c r="AV323" s="92"/>
      <c r="AW323" s="92"/>
      <c r="AX323" s="92"/>
      <c r="AY323" s="92"/>
      <c r="AZ323" s="989"/>
      <c r="BA323" s="92"/>
      <c r="BB323" s="92"/>
      <c r="BC323" s="92"/>
      <c r="BD323" s="92"/>
      <c r="BE323" s="989"/>
      <c r="BF323" s="92"/>
      <c r="BG323" s="92"/>
      <c r="BH323" s="464"/>
      <c r="BI323" s="92"/>
      <c r="BJ323" s="989"/>
      <c r="BK323" s="92"/>
      <c r="BL323" s="92"/>
      <c r="BM323" s="92"/>
      <c r="BN323" s="92"/>
      <c r="BO323" s="989"/>
      <c r="BP323" s="989"/>
      <c r="BQ323" s="989"/>
      <c r="BR323" s="989"/>
      <c r="BS323" s="305"/>
    </row>
    <row r="324" spans="1:71" s="300" customFormat="1" ht="15" customHeight="1" hidden="1" outlineLevel="1">
      <c r="A324" s="304" t="s">
        <v>436</v>
      </c>
      <c r="B324" s="233"/>
      <c r="C324" s="989"/>
      <c r="D324" s="989"/>
      <c r="E324" s="989"/>
      <c r="F324" s="989"/>
      <c r="G324" s="989"/>
      <c r="H324" s="92"/>
      <c r="I324" s="92"/>
      <c r="J324" s="92"/>
      <c r="K324" s="305">
        <f t="shared" si="1053"/>
        <v>0</v>
      </c>
      <c r="L324" s="989"/>
      <c r="M324" s="92"/>
      <c r="N324" s="92"/>
      <c r="O324" s="92"/>
      <c r="P324" s="305">
        <f t="shared" si="1054"/>
        <v>0</v>
      </c>
      <c r="Q324" s="989"/>
      <c r="R324" s="897">
        <v>0</v>
      </c>
      <c r="S324" s="897">
        <v>0</v>
      </c>
      <c r="T324" s="897">
        <v>0</v>
      </c>
      <c r="U324" s="305">
        <f t="shared" si="1055"/>
        <v>0</v>
      </c>
      <c r="V324" s="988">
        <v>0</v>
      </c>
      <c r="W324" s="897">
        <v>0</v>
      </c>
      <c r="X324" s="897">
        <v>0</v>
      </c>
      <c r="Y324" s="897">
        <v>0</v>
      </c>
      <c r="Z324" s="305">
        <f t="shared" si="1056"/>
        <v>-125</v>
      </c>
      <c r="AA324" s="988">
        <v>-125</v>
      </c>
      <c r="AB324" s="92"/>
      <c r="AC324" s="92"/>
      <c r="AD324" s="92"/>
      <c r="AE324" s="305">
        <f t="shared" si="1057"/>
        <v>0</v>
      </c>
      <c r="AF324" s="989"/>
      <c r="AG324" s="92"/>
      <c r="AH324" s="92"/>
      <c r="AI324" s="92"/>
      <c r="AJ324" s="305">
        <f t="shared" si="1058"/>
        <v>0</v>
      </c>
      <c r="AK324" s="989"/>
      <c r="AL324" s="92"/>
      <c r="AM324" s="92"/>
      <c r="AN324" s="92"/>
      <c r="AO324" s="305">
        <f t="shared" si="1059"/>
        <v>0</v>
      </c>
      <c r="AP324" s="989"/>
      <c r="AQ324" s="92"/>
      <c r="AR324" s="92"/>
      <c r="AS324" s="92"/>
      <c r="AT324" s="92"/>
      <c r="AU324" s="989"/>
      <c r="AV324" s="92"/>
      <c r="AW324" s="92"/>
      <c r="AX324" s="92"/>
      <c r="AY324" s="92"/>
      <c r="AZ324" s="989"/>
      <c r="BA324" s="92"/>
      <c r="BB324" s="92"/>
      <c r="BC324" s="92"/>
      <c r="BD324" s="92"/>
      <c r="BE324" s="989"/>
      <c r="BF324" s="92"/>
      <c r="BG324" s="92"/>
      <c r="BH324" s="464"/>
      <c r="BI324" s="92"/>
      <c r="BJ324" s="989"/>
      <c r="BK324" s="92"/>
      <c r="BL324" s="92"/>
      <c r="BM324" s="92"/>
      <c r="BN324" s="92"/>
      <c r="BO324" s="989"/>
      <c r="BP324" s="989"/>
      <c r="BQ324" s="989"/>
      <c r="BR324" s="989"/>
      <c r="BS324" s="305"/>
    </row>
    <row r="325" spans="1:71" s="300" customFormat="1" ht="15" customHeight="1" hidden="1" outlineLevel="1">
      <c r="A325" s="110" t="s">
        <v>437</v>
      </c>
      <c r="B325" s="113"/>
      <c r="C325" s="995"/>
      <c r="D325" s="995"/>
      <c r="E325" s="995"/>
      <c r="F325" s="995"/>
      <c r="G325" s="995"/>
      <c r="H325" s="115"/>
      <c r="I325" s="115"/>
      <c r="J325" s="115"/>
      <c r="K325" s="58">
        <f t="shared" si="1053"/>
        <v>0</v>
      </c>
      <c r="L325" s="995"/>
      <c r="M325" s="115"/>
      <c r="N325" s="115"/>
      <c r="O325" s="115"/>
      <c r="P325" s="58">
        <f t="shared" si="1054"/>
        <v>0</v>
      </c>
      <c r="Q325" s="995"/>
      <c r="R325" s="900">
        <v>0</v>
      </c>
      <c r="S325" s="900">
        <v>0</v>
      </c>
      <c r="T325" s="900">
        <v>0</v>
      </c>
      <c r="U325" s="58">
        <f t="shared" si="1055"/>
        <v>0</v>
      </c>
      <c r="V325" s="990">
        <v>0</v>
      </c>
      <c r="W325" s="900">
        <v>0</v>
      </c>
      <c r="X325" s="900">
        <v>0</v>
      </c>
      <c r="Y325" s="900">
        <v>0</v>
      </c>
      <c r="Z325" s="58">
        <f t="shared" si="1056"/>
        <v>-128</v>
      </c>
      <c r="AA325" s="990">
        <v>-128</v>
      </c>
      <c r="AB325" s="900">
        <v>0</v>
      </c>
      <c r="AC325" s="900">
        <v>0</v>
      </c>
      <c r="AD325" s="900">
        <v>-15</v>
      </c>
      <c r="AE325" s="58">
        <f t="shared" si="1057"/>
        <v>0</v>
      </c>
      <c r="AF325" s="990">
        <v>-15</v>
      </c>
      <c r="AG325" s="900">
        <v>0</v>
      </c>
      <c r="AH325" s="900">
        <v>0</v>
      </c>
      <c r="AI325" s="900">
        <v>0</v>
      </c>
      <c r="AJ325" s="58">
        <f t="shared" si="1058"/>
        <v>0</v>
      </c>
      <c r="AK325" s="990">
        <v>0</v>
      </c>
      <c r="AL325" s="115"/>
      <c r="AM325" s="115"/>
      <c r="AN325" s="115"/>
      <c r="AO325" s="58">
        <f t="shared" si="1059"/>
        <v>0</v>
      </c>
      <c r="AP325" s="995"/>
      <c r="AQ325" s="115"/>
      <c r="AR325" s="115"/>
      <c r="AS325" s="115"/>
      <c r="AT325" s="115"/>
      <c r="AU325" s="995"/>
      <c r="AV325" s="115"/>
      <c r="AW325" s="115"/>
      <c r="AX325" s="115"/>
      <c r="AY325" s="115"/>
      <c r="AZ325" s="995"/>
      <c r="BA325" s="115"/>
      <c r="BB325" s="115"/>
      <c r="BC325" s="115"/>
      <c r="BD325" s="115"/>
      <c r="BE325" s="995"/>
      <c r="BF325" s="115"/>
      <c r="BG325" s="115"/>
      <c r="BH325" s="641"/>
      <c r="BI325" s="115"/>
      <c r="BJ325" s="995"/>
      <c r="BK325" s="115"/>
      <c r="BL325" s="115"/>
      <c r="BM325" s="115"/>
      <c r="BN325" s="115"/>
      <c r="BO325" s="995"/>
      <c r="BP325" s="995"/>
      <c r="BQ325" s="995"/>
      <c r="BR325" s="995"/>
      <c r="BS325" s="305"/>
    </row>
    <row r="326" spans="1:71" s="51" customFormat="1" ht="15" hidden="1" outlineLevel="1">
      <c r="A326" s="109" t="s">
        <v>438</v>
      </c>
      <c r="B326" s="391"/>
      <c r="C326" s="999">
        <f t="shared" si="1060" ref="C326">SUM(C317:C325)</f>
        <v>-206</v>
      </c>
      <c r="D326" s="999">
        <f t="shared" si="1061" ref="D326">SUM(D317:D325)</f>
        <v>-184</v>
      </c>
      <c r="E326" s="999">
        <f t="shared" si="1062" ref="E326">SUM(E317:E325)</f>
        <v>-206</v>
      </c>
      <c r="F326" s="999">
        <f t="shared" si="1063" ref="F326">SUM(F317:F325)</f>
        <v>-203</v>
      </c>
      <c r="G326" s="999">
        <f t="shared" si="1064" ref="G326">SUM(G317:G325)</f>
        <v>-586</v>
      </c>
      <c r="H326" s="57">
        <f t="shared" si="1065" ref="H326">SUM(H317:H325)</f>
        <v>-68</v>
      </c>
      <c r="I326" s="57">
        <f t="shared" si="1066" ref="I326">SUM(I317:I325)</f>
        <v>-85</v>
      </c>
      <c r="J326" s="57">
        <f t="shared" si="1067" ref="J326">SUM(J317:J325)</f>
        <v>-80</v>
      </c>
      <c r="K326" s="57">
        <f t="shared" si="1068" ref="K326">SUM(K317:K325)</f>
        <v>-79</v>
      </c>
      <c r="L326" s="999">
        <f t="shared" si="1069" ref="L326">SUM(L317:L325)</f>
        <v>-312</v>
      </c>
      <c r="M326" s="57">
        <f t="shared" si="1070" ref="M326">SUM(M317:M325)</f>
        <v>-73</v>
      </c>
      <c r="N326" s="57">
        <f t="shared" si="1071" ref="N326">SUM(N317:N325)</f>
        <v>-75</v>
      </c>
      <c r="O326" s="57">
        <f t="shared" si="1072" ref="O326">SUM(O317:O325)</f>
        <v>-78</v>
      </c>
      <c r="P326" s="57">
        <f t="shared" si="1073" ref="P326">SUM(P317:P325)</f>
        <v>-72</v>
      </c>
      <c r="Q326" s="999">
        <f t="shared" si="1074" ref="Q326">SUM(Q317:Q325)</f>
        <v>-298</v>
      </c>
      <c r="R326" s="57">
        <f t="shared" si="1075" ref="R326">SUM(R317:R325)</f>
        <v>-73</v>
      </c>
      <c r="S326" s="57">
        <f t="shared" si="1076" ref="S326">SUM(S317:S325)</f>
        <v>-72</v>
      </c>
      <c r="T326" s="57">
        <f t="shared" si="1077" ref="T326">SUM(T317:T325)</f>
        <v>-72</v>
      </c>
      <c r="U326" s="57">
        <f t="shared" si="1078" ref="U326">SUM(U317:U325)</f>
        <v>-77</v>
      </c>
      <c r="V326" s="999">
        <f t="shared" si="1079" ref="V326">SUM(V317:V325)</f>
        <v>-294</v>
      </c>
      <c r="W326" s="57">
        <f t="shared" si="1080" ref="W326">SUM(W317:W325)</f>
        <v>-94</v>
      </c>
      <c r="X326" s="57">
        <f t="shared" si="1081" ref="X326">SUM(X317:X325)</f>
        <v>-80</v>
      </c>
      <c r="Y326" s="57">
        <f t="shared" si="1082" ref="Y326">SUM(Y317:Y325)</f>
        <v>-135</v>
      </c>
      <c r="Z326" s="57">
        <f t="shared" si="1083" ref="Z326">SUM(Z317:Z325)</f>
        <v>-361</v>
      </c>
      <c r="AA326" s="999">
        <f t="shared" si="1084" ref="AA326">SUM(AA317:AA325)</f>
        <v>-670</v>
      </c>
      <c r="AB326" s="57">
        <f t="shared" si="1085" ref="AB326">SUM(AB317:AB325)</f>
        <v>-102</v>
      </c>
      <c r="AC326" s="57">
        <f t="shared" si="1086" ref="AC326">SUM(AC317:AC325)</f>
        <v>-98</v>
      </c>
      <c r="AD326" s="57">
        <f t="shared" si="1087" ref="AD326">SUM(AD317:AD325)</f>
        <v>-91</v>
      </c>
      <c r="AE326" s="57">
        <f t="shared" si="1088" ref="AE326">SUM(AE317:AE325)</f>
        <v>-537</v>
      </c>
      <c r="AF326" s="999">
        <f t="shared" si="1089" ref="AF326">SUM(AF317:AF325)</f>
        <v>-828</v>
      </c>
      <c r="AG326" s="57">
        <f t="shared" si="1090" ref="AG326">SUM(AG317:AG325)</f>
        <v>-113</v>
      </c>
      <c r="AH326" s="57">
        <f t="shared" si="1091" ref="AH326">SUM(AH317:AH325)</f>
        <v>-190</v>
      </c>
      <c r="AI326" s="57">
        <f t="shared" si="1092" ref="AI326">SUM(AI317:AI325)</f>
        <v>-278</v>
      </c>
      <c r="AJ326" s="57">
        <f t="shared" si="1093" ref="AJ326">SUM(AJ317:AJ325)</f>
        <v>72</v>
      </c>
      <c r="AK326" s="999">
        <f t="shared" si="1094" ref="AK326">SUM(AK317:AK325)</f>
        <v>-509</v>
      </c>
      <c r="AL326" s="57">
        <f t="shared" si="1095" ref="AL326">SUM(AL317:AL325)</f>
        <v>-375</v>
      </c>
      <c r="AM326" s="57">
        <f>SUM(AM317:AM325)</f>
        <v>-134</v>
      </c>
      <c r="AN326" s="57">
        <f>SUM(AN317:AN325)</f>
        <v>-41</v>
      </c>
      <c r="AO326" s="57">
        <f t="shared" si="1096" ref="AO326:AP326">SUM(AO317:AO325)</f>
        <v>215</v>
      </c>
      <c r="AP326" s="999">
        <f t="shared" si="1096"/>
        <v>-335</v>
      </c>
      <c r="AQ326" s="128"/>
      <c r="AR326" s="128"/>
      <c r="AS326" s="128"/>
      <c r="AT326" s="128"/>
      <c r="AU326" s="1000"/>
      <c r="AV326" s="128"/>
      <c r="AW326" s="128"/>
      <c r="AX326" s="128"/>
      <c r="AY326" s="128"/>
      <c r="AZ326" s="1000"/>
      <c r="BA326" s="128"/>
      <c r="BB326" s="128"/>
      <c r="BC326" s="128"/>
      <c r="BD326" s="128"/>
      <c r="BE326" s="1000"/>
      <c r="BF326" s="128"/>
      <c r="BG326" s="128"/>
      <c r="BH326" s="465"/>
      <c r="BI326" s="128"/>
      <c r="BJ326" s="1000"/>
      <c r="BK326" s="128"/>
      <c r="BL326" s="128"/>
      <c r="BM326" s="128"/>
      <c r="BN326" s="128"/>
      <c r="BO326" s="1000"/>
      <c r="BP326" s="1000"/>
      <c r="BQ326" s="1000"/>
      <c r="BR326" s="1000"/>
      <c r="BS326" s="57"/>
    </row>
    <row r="327" spans="1:71" s="51" customFormat="1" ht="15" collapsed="1">
      <c r="A327" s="480"/>
      <c r="B327" s="391"/>
      <c r="C327" s="1000"/>
      <c r="D327" s="1000"/>
      <c r="E327" s="1000"/>
      <c r="F327" s="1000"/>
      <c r="G327" s="1000"/>
      <c r="H327" s="128"/>
      <c r="I327" s="128"/>
      <c r="J327" s="128"/>
      <c r="K327" s="128"/>
      <c r="L327" s="1000"/>
      <c r="M327" s="128"/>
      <c r="N327" s="128"/>
      <c r="O327" s="128"/>
      <c r="P327" s="128"/>
      <c r="Q327" s="1000"/>
      <c r="R327" s="128"/>
      <c r="S327" s="128"/>
      <c r="T327" s="128"/>
      <c r="U327" s="128"/>
      <c r="V327" s="1000"/>
      <c r="W327" s="128"/>
      <c r="X327" s="128"/>
      <c r="Y327" s="128"/>
      <c r="Z327" s="128"/>
      <c r="AA327" s="1000"/>
      <c r="AB327" s="128"/>
      <c r="AC327" s="128"/>
      <c r="AD327" s="128"/>
      <c r="AE327" s="128"/>
      <c r="AF327" s="1000"/>
      <c r="AG327" s="128"/>
      <c r="AH327" s="128"/>
      <c r="AI327" s="128"/>
      <c r="AJ327" s="128"/>
      <c r="AK327" s="1000"/>
      <c r="AL327" s="128"/>
      <c r="AM327" s="128"/>
      <c r="AN327" s="128"/>
      <c r="AO327" s="128"/>
      <c r="AP327" s="1000"/>
      <c r="AQ327" s="128"/>
      <c r="AR327" s="128"/>
      <c r="AS327" s="128"/>
      <c r="AT327" s="128"/>
      <c r="AU327" s="1000"/>
      <c r="AV327" s="128"/>
      <c r="AW327" s="128"/>
      <c r="AX327" s="128"/>
      <c r="AY327" s="128"/>
      <c r="AZ327" s="1000"/>
      <c r="BA327" s="128"/>
      <c r="BB327" s="128"/>
      <c r="BC327" s="128"/>
      <c r="BD327" s="128"/>
      <c r="BE327" s="1000"/>
      <c r="BF327" s="128"/>
      <c r="BG327" s="128"/>
      <c r="BH327" s="465"/>
      <c r="BI327" s="128"/>
      <c r="BJ327" s="1000"/>
      <c r="BK327" s="128"/>
      <c r="BL327" s="128"/>
      <c r="BM327" s="128"/>
      <c r="BN327" s="128"/>
      <c r="BO327" s="1000"/>
      <c r="BP327" s="1000"/>
      <c r="BQ327" s="1000"/>
      <c r="BR327" s="1000"/>
      <c r="BS327" s="57"/>
    </row>
    <row r="328" spans="1:71" s="17" customFormat="1" ht="15">
      <c r="A328" s="818" t="s">
        <v>610</v>
      </c>
      <c r="B328" s="818"/>
      <c r="C328" s="837"/>
      <c r="D328" s="837"/>
      <c r="E328" s="837"/>
      <c r="F328" s="837"/>
      <c r="G328" s="837"/>
      <c r="H328" s="837"/>
      <c r="I328" s="837"/>
      <c r="J328" s="837"/>
      <c r="K328" s="837"/>
      <c r="L328" s="837"/>
      <c r="M328" s="837"/>
      <c r="N328" s="837"/>
      <c r="O328" s="837"/>
      <c r="P328" s="837"/>
      <c r="Q328" s="837"/>
      <c r="R328" s="837"/>
      <c r="S328" s="837"/>
      <c r="T328" s="837"/>
      <c r="U328" s="837"/>
      <c r="V328" s="837"/>
      <c r="W328" s="837"/>
      <c r="X328" s="837"/>
      <c r="Y328" s="837"/>
      <c r="Z328" s="837"/>
      <c r="AA328" s="837"/>
      <c r="AB328" s="837"/>
      <c r="AC328" s="837"/>
      <c r="AD328" s="837"/>
      <c r="AE328" s="837"/>
      <c r="AF328" s="837"/>
      <c r="AG328" s="837"/>
      <c r="AH328" s="837"/>
      <c r="AI328" s="837"/>
      <c r="AJ328" s="837"/>
      <c r="AK328" s="837"/>
      <c r="AL328" s="837"/>
      <c r="AM328" s="837"/>
      <c r="AN328" s="837"/>
      <c r="AO328" s="837"/>
      <c r="AP328" s="837"/>
      <c r="AQ328" s="837"/>
      <c r="AR328" s="837"/>
      <c r="AS328" s="837"/>
      <c r="AT328" s="837"/>
      <c r="AU328" s="837"/>
      <c r="AV328" s="837"/>
      <c r="AW328" s="837"/>
      <c r="AX328" s="837"/>
      <c r="AY328" s="837"/>
      <c r="AZ328" s="837"/>
      <c r="BA328" s="837"/>
      <c r="BB328" s="837"/>
      <c r="BC328" s="837"/>
      <c r="BD328" s="837"/>
      <c r="BE328" s="837"/>
      <c r="BF328" s="837"/>
      <c r="BG328" s="837"/>
      <c r="BH328" s="838"/>
      <c r="BI328" s="837"/>
      <c r="BJ328" s="837"/>
      <c r="BK328" s="837"/>
      <c r="BL328" s="837"/>
      <c r="BM328" s="837"/>
      <c r="BN328" s="837"/>
      <c r="BO328" s="837"/>
      <c r="BP328" s="837"/>
      <c r="BQ328" s="837"/>
      <c r="BR328" s="837"/>
      <c r="BS328" s="457"/>
    </row>
    <row r="329" spans="1:71" s="51" customFormat="1" ht="15">
      <c r="A329" s="109" t="s">
        <v>611</v>
      </c>
      <c r="B329" s="391"/>
      <c r="C329" s="1000"/>
      <c r="D329" s="1000"/>
      <c r="E329" s="1000"/>
      <c r="F329" s="1000"/>
      <c r="G329" s="1000"/>
      <c r="H329" s="128"/>
      <c r="I329" s="128"/>
      <c r="J329" s="128"/>
      <c r="K329" s="128"/>
      <c r="L329" s="1000"/>
      <c r="M329" s="128"/>
      <c r="N329" s="128"/>
      <c r="O329" s="128"/>
      <c r="P329" s="128"/>
      <c r="Q329" s="1000"/>
      <c r="R329" s="128"/>
      <c r="S329" s="128"/>
      <c r="T329" s="128"/>
      <c r="U329" s="128"/>
      <c r="V329" s="1000"/>
      <c r="W329" s="128"/>
      <c r="X329" s="128"/>
      <c r="Y329" s="128"/>
      <c r="Z329" s="128"/>
      <c r="AA329" s="1000"/>
      <c r="AB329" s="57">
        <f t="shared" si="1097" ref="AB329">AA331</f>
        <v>1958</v>
      </c>
      <c r="AC329" s="57">
        <f t="shared" si="1098" ref="AC329">AB331</f>
        <v>3845</v>
      </c>
      <c r="AD329" s="57">
        <f t="shared" si="1099" ref="AD329">AC331</f>
        <v>3296</v>
      </c>
      <c r="AE329" s="57">
        <f>AD331</f>
        <v>3198</v>
      </c>
      <c r="AF329" s="999">
        <f>AA331</f>
        <v>1958</v>
      </c>
      <c r="AG329" s="57">
        <f t="shared" si="1100" ref="AG329">AF331</f>
        <v>1469</v>
      </c>
      <c r="AH329" s="57">
        <f t="shared" si="1101" ref="AH329">AG331</f>
        <v>2354</v>
      </c>
      <c r="AI329" s="57">
        <f t="shared" si="1102" ref="AI329">AH331</f>
        <v>2747</v>
      </c>
      <c r="AJ329" s="57">
        <f>AI331</f>
        <v>3567</v>
      </c>
      <c r="AK329" s="999">
        <f>AF331</f>
        <v>1469</v>
      </c>
      <c r="AL329" s="57">
        <f t="shared" si="1103" ref="AL329">AK331</f>
        <v>2328</v>
      </c>
      <c r="AM329" s="57">
        <f>AL331</f>
        <v>3460</v>
      </c>
      <c r="AN329" s="57">
        <f>AM331</f>
        <v>3689</v>
      </c>
      <c r="AO329" s="57">
        <f>AN331</f>
        <v>2904</v>
      </c>
      <c r="AP329" s="999">
        <f>AK331</f>
        <v>2328</v>
      </c>
      <c r="AQ329" s="57">
        <f>AP331</f>
        <v>5572</v>
      </c>
      <c r="AR329" s="57">
        <f>AQ331</f>
        <v>4277</v>
      </c>
      <c r="AS329" s="57">
        <f>AR331</f>
        <v>4310</v>
      </c>
      <c r="AT329" s="57">
        <f>AS331</f>
        <v>3443</v>
      </c>
      <c r="AU329" s="999">
        <f>AP331</f>
        <v>5572</v>
      </c>
      <c r="AV329" s="57">
        <f>AU331</f>
        <v>3362</v>
      </c>
      <c r="AW329" s="57">
        <f>AV331</f>
        <v>5020</v>
      </c>
      <c r="AX329" s="57">
        <f>AW331</f>
        <v>5083</v>
      </c>
      <c r="AY329" s="57">
        <f>AX331</f>
        <v>4484</v>
      </c>
      <c r="AZ329" s="999">
        <f>AU331</f>
        <v>3362</v>
      </c>
      <c r="BA329" s="57">
        <f>AZ331</f>
        <v>4029</v>
      </c>
      <c r="BB329" s="57">
        <f>BA331</f>
        <v>4137</v>
      </c>
      <c r="BC329" s="57">
        <f>BB331</f>
        <v>3136</v>
      </c>
      <c r="BD329" s="57">
        <f>BC331</f>
        <v>2796</v>
      </c>
      <c r="BE329" s="999">
        <f>AZ331</f>
        <v>4029</v>
      </c>
      <c r="BF329" s="57">
        <f>BE331</f>
        <v>2775</v>
      </c>
      <c r="BG329" s="57">
        <f>BF331</f>
        <v>2475</v>
      </c>
      <c r="BH329" s="745">
        <f>BG331</f>
        <v>2355</v>
      </c>
      <c r="BI329" s="128">
        <f>BH331</f>
        <v>2380</v>
      </c>
      <c r="BJ329" s="1000">
        <f>BE331</f>
        <v>2775</v>
      </c>
      <c r="BK329" s="128">
        <f>BJ331</f>
        <v>2320</v>
      </c>
      <c r="BL329" s="128">
        <f>BK331</f>
        <v>2260</v>
      </c>
      <c r="BM329" s="128">
        <f>BL331</f>
        <v>2200</v>
      </c>
      <c r="BN329" s="128">
        <f>BM331</f>
        <v>2140</v>
      </c>
      <c r="BO329" s="1000">
        <f>BJ331</f>
        <v>2320</v>
      </c>
      <c r="BP329" s="1000">
        <f>BO331</f>
        <v>2080</v>
      </c>
      <c r="BQ329" s="1000">
        <f>BP331</f>
        <v>1840</v>
      </c>
      <c r="BR329" s="1000">
        <f>BQ331</f>
        <v>1600</v>
      </c>
      <c r="BS329" s="57"/>
    </row>
    <row r="330" spans="1:71" s="51" customFormat="1" ht="15">
      <c r="A330" s="110" t="s">
        <v>612</v>
      </c>
      <c r="B330" s="113"/>
      <c r="C330" s="995"/>
      <c r="D330" s="995"/>
      <c r="E330" s="995"/>
      <c r="F330" s="995"/>
      <c r="G330" s="995"/>
      <c r="H330" s="115"/>
      <c r="I330" s="115"/>
      <c r="J330" s="115"/>
      <c r="K330" s="115"/>
      <c r="L330" s="995"/>
      <c r="M330" s="115"/>
      <c r="N330" s="115"/>
      <c r="O330" s="115"/>
      <c r="P330" s="115"/>
      <c r="Q330" s="995"/>
      <c r="R330" s="115"/>
      <c r="S330" s="115"/>
      <c r="T330" s="115"/>
      <c r="U330" s="115"/>
      <c r="V330" s="995"/>
      <c r="W330" s="115"/>
      <c r="X330" s="115"/>
      <c r="Y330" s="115"/>
      <c r="Z330" s="115"/>
      <c r="AA330" s="995"/>
      <c r="AB330" s="58">
        <f t="shared" si="1104" ref="AB330:AL330">AB331-AB329</f>
        <v>1887</v>
      </c>
      <c r="AC330" s="58">
        <f t="shared" si="1104"/>
        <v>-549</v>
      </c>
      <c r="AD330" s="58">
        <f t="shared" si="1104"/>
        <v>-98</v>
      </c>
      <c r="AE330" s="58">
        <f t="shared" si="1104"/>
        <v>-1729</v>
      </c>
      <c r="AF330" s="998">
        <f t="shared" si="1104"/>
        <v>-489</v>
      </c>
      <c r="AG330" s="58">
        <f t="shared" si="1104"/>
        <v>885</v>
      </c>
      <c r="AH330" s="58">
        <f t="shared" si="1104"/>
        <v>393</v>
      </c>
      <c r="AI330" s="58">
        <f t="shared" si="1104"/>
        <v>820</v>
      </c>
      <c r="AJ330" s="58">
        <f t="shared" si="1104"/>
        <v>-1239</v>
      </c>
      <c r="AK330" s="998">
        <f t="shared" si="1104"/>
        <v>859</v>
      </c>
      <c r="AL330" s="58">
        <f t="shared" si="1104"/>
        <v>1132</v>
      </c>
      <c r="AM330" s="58">
        <f>AM331-AM329</f>
        <v>229</v>
      </c>
      <c r="AN330" s="58">
        <f>AN331-AN329</f>
        <v>-785</v>
      </c>
      <c r="AO330" s="58">
        <f t="shared" si="1105" ref="AO330:AP330">AO331-AO329</f>
        <v>2668</v>
      </c>
      <c r="AP330" s="998">
        <f t="shared" si="1105"/>
        <v>3244</v>
      </c>
      <c r="AQ330" s="58">
        <f t="shared" si="1106" ref="AQ330:AV330">AQ331-AQ329</f>
        <v>-1295</v>
      </c>
      <c r="AR330" s="58">
        <f t="shared" si="1106"/>
        <v>33</v>
      </c>
      <c r="AS330" s="58">
        <f t="shared" si="1106"/>
        <v>-867</v>
      </c>
      <c r="AT330" s="58">
        <f t="shared" si="1106"/>
        <v>-81</v>
      </c>
      <c r="AU330" s="998">
        <f t="shared" si="1106"/>
        <v>-2210</v>
      </c>
      <c r="AV330" s="58">
        <f t="shared" si="1106"/>
        <v>1658</v>
      </c>
      <c r="AW330" s="58">
        <f t="shared" si="1107" ref="AW330:BB330">AW331-AW329</f>
        <v>63</v>
      </c>
      <c r="AX330" s="58">
        <f t="shared" si="1107"/>
        <v>-599</v>
      </c>
      <c r="AY330" s="58">
        <f t="shared" si="1107"/>
        <v>-455</v>
      </c>
      <c r="AZ330" s="998">
        <f t="shared" si="1107"/>
        <v>667</v>
      </c>
      <c r="BA330" s="58">
        <f t="shared" si="1107"/>
        <v>108</v>
      </c>
      <c r="BB330" s="58">
        <f t="shared" si="1107"/>
        <v>-1001</v>
      </c>
      <c r="BC330" s="58">
        <f t="shared" si="1108" ref="BC330:BH330">BC331-BC329</f>
        <v>-340</v>
      </c>
      <c r="BD330" s="58">
        <f t="shared" si="1108"/>
        <v>-21</v>
      </c>
      <c r="BE330" s="993">
        <f t="shared" si="1108"/>
        <v>-1254</v>
      </c>
      <c r="BF330" s="58">
        <f t="shared" si="1108"/>
        <v>-300</v>
      </c>
      <c r="BG330" s="58">
        <f t="shared" si="1108"/>
        <v>-120</v>
      </c>
      <c r="BH330" s="744">
        <f t="shared" si="1108"/>
        <v>25</v>
      </c>
      <c r="BI330" s="900">
        <v>-60</v>
      </c>
      <c r="BJ330" s="995">
        <f>SUM(BF330,BG330,BH330,BI330)</f>
        <v>-455</v>
      </c>
      <c r="BK330" s="900">
        <v>-60</v>
      </c>
      <c r="BL330" s="900">
        <v>-60</v>
      </c>
      <c r="BM330" s="900">
        <v>-60</v>
      </c>
      <c r="BN330" s="900">
        <v>-60</v>
      </c>
      <c r="BO330" s="995">
        <f>SUM(BK330,BL330,BM330,BN330)</f>
        <v>-240</v>
      </c>
      <c r="BP330" s="990">
        <v>-240</v>
      </c>
      <c r="BQ330" s="990">
        <v>-240</v>
      </c>
      <c r="BR330" s="990">
        <v>-240</v>
      </c>
      <c r="BS330" s="57"/>
    </row>
    <row r="331" spans="1:71" s="51" customFormat="1" ht="15">
      <c r="A331" s="480" t="s">
        <v>608</v>
      </c>
      <c r="B331" s="391"/>
      <c r="C331" s="1000"/>
      <c r="D331" s="1000"/>
      <c r="E331" s="1000"/>
      <c r="F331" s="1000"/>
      <c r="G331" s="1000"/>
      <c r="H331" s="128"/>
      <c r="I331" s="128"/>
      <c r="J331" s="128"/>
      <c r="K331" s="128"/>
      <c r="L331" s="1000"/>
      <c r="M331" s="128"/>
      <c r="N331" s="128"/>
      <c r="O331" s="128"/>
      <c r="P331" s="128"/>
      <c r="Q331" s="1000"/>
      <c r="R331" s="128"/>
      <c r="S331" s="128"/>
      <c r="T331" s="128"/>
      <c r="U331" s="128"/>
      <c r="V331" s="1000"/>
      <c r="W331" s="128"/>
      <c r="X331" s="128"/>
      <c r="Y331" s="128"/>
      <c r="Z331" s="128"/>
      <c r="AA331" s="1031">
        <v>1958</v>
      </c>
      <c r="AB331" s="922">
        <v>3845</v>
      </c>
      <c r="AC331" s="922">
        <v>3296</v>
      </c>
      <c r="AD331" s="922">
        <v>3198</v>
      </c>
      <c r="AE331" s="128">
        <f>AF331</f>
        <v>1469</v>
      </c>
      <c r="AF331" s="1031">
        <v>1469</v>
      </c>
      <c r="AG331" s="922">
        <v>2354</v>
      </c>
      <c r="AH331" s="922">
        <v>2747</v>
      </c>
      <c r="AI331" s="922">
        <v>3567</v>
      </c>
      <c r="AJ331" s="128">
        <f>AK331</f>
        <v>2328</v>
      </c>
      <c r="AK331" s="1031">
        <v>2328</v>
      </c>
      <c r="AL331" s="922">
        <v>3460</v>
      </c>
      <c r="AM331" s="922">
        <v>3689</v>
      </c>
      <c r="AN331" s="922">
        <v>2904</v>
      </c>
      <c r="AO331" s="128">
        <f>AP331</f>
        <v>5572</v>
      </c>
      <c r="AP331" s="1031">
        <v>5572</v>
      </c>
      <c r="AQ331" s="922">
        <v>4277</v>
      </c>
      <c r="AR331" s="922">
        <v>4310</v>
      </c>
      <c r="AS331" s="922">
        <v>3443</v>
      </c>
      <c r="AT331" s="128">
        <f>AU331</f>
        <v>3362</v>
      </c>
      <c r="AU331" s="1031">
        <v>3362</v>
      </c>
      <c r="AV331" s="922">
        <v>5020</v>
      </c>
      <c r="AW331" s="922">
        <v>5083</v>
      </c>
      <c r="AX331" s="922">
        <v>4484</v>
      </c>
      <c r="AY331" s="128">
        <f>AZ331</f>
        <v>4029</v>
      </c>
      <c r="AZ331" s="1031">
        <v>4029</v>
      </c>
      <c r="BA331" s="922">
        <v>4137</v>
      </c>
      <c r="BB331" s="922">
        <v>3136</v>
      </c>
      <c r="BC331" s="922">
        <v>2796</v>
      </c>
      <c r="BD331" s="128">
        <f>BE331</f>
        <v>2775</v>
      </c>
      <c r="BE331" s="1032">
        <v>2775</v>
      </c>
      <c r="BF331" s="922">
        <v>2475</v>
      </c>
      <c r="BG331" s="922">
        <v>2355</v>
      </c>
      <c r="BH331" s="924">
        <v>2380</v>
      </c>
      <c r="BI331" s="128">
        <f t="shared" si="1109" ref="BI331:BR331">SUM(BI329:BI330)</f>
        <v>2320</v>
      </c>
      <c r="BJ331" s="1000">
        <f t="shared" si="1109"/>
        <v>2320</v>
      </c>
      <c r="BK331" s="128">
        <f t="shared" si="1109"/>
        <v>2260</v>
      </c>
      <c r="BL331" s="128">
        <f t="shared" si="1109"/>
        <v>2200</v>
      </c>
      <c r="BM331" s="128">
        <f t="shared" si="1109"/>
        <v>2140</v>
      </c>
      <c r="BN331" s="128">
        <f t="shared" si="1109"/>
        <v>2080</v>
      </c>
      <c r="BO331" s="1000">
        <f t="shared" si="1109"/>
        <v>2080</v>
      </c>
      <c r="BP331" s="1000">
        <f t="shared" si="1109"/>
        <v>1840</v>
      </c>
      <c r="BQ331" s="1000">
        <f t="shared" si="1109"/>
        <v>1600</v>
      </c>
      <c r="BR331" s="1000">
        <f t="shared" si="1109"/>
        <v>1360</v>
      </c>
      <c r="BS331" s="57"/>
    </row>
    <row r="332" spans="1:71" s="51" customFormat="1" ht="15">
      <c r="A332" s="109" t="s">
        <v>613</v>
      </c>
      <c r="B332" s="391"/>
      <c r="C332" s="1000"/>
      <c r="D332" s="1000"/>
      <c r="E332" s="1000"/>
      <c r="F332" s="1000"/>
      <c r="G332" s="1000"/>
      <c r="H332" s="128"/>
      <c r="I332" s="128"/>
      <c r="J332" s="128"/>
      <c r="K332" s="128"/>
      <c r="L332" s="1000"/>
      <c r="M332" s="128"/>
      <c r="N332" s="128"/>
      <c r="O332" s="128"/>
      <c r="P332" s="128"/>
      <c r="Q332" s="1000"/>
      <c r="R332" s="128"/>
      <c r="S332" s="128"/>
      <c r="T332" s="128"/>
      <c r="U332" s="128"/>
      <c r="V332" s="1000"/>
      <c r="W332" s="128"/>
      <c r="X332" s="128"/>
      <c r="Y332" s="128"/>
      <c r="Z332" s="128"/>
      <c r="AA332" s="1000"/>
      <c r="AB332" s="57">
        <f t="shared" si="1110" ref="AB332">AVERAGE(AA331,AB331)</f>
        <v>2901.50</v>
      </c>
      <c r="AC332" s="57">
        <f t="shared" si="1111" ref="AC332">AVERAGE(AB331,AC331)</f>
        <v>3570.50</v>
      </c>
      <c r="AD332" s="57">
        <f t="shared" si="1112" ref="AD332">AVERAGE(AC331,AD331)</f>
        <v>3247</v>
      </c>
      <c r="AE332" s="57">
        <f t="shared" si="1113" ref="AE332">AVERAGE(AD331,AE331)</f>
        <v>2333.50</v>
      </c>
      <c r="AF332" s="999">
        <f>SUM(AB332*AB$3,AC332*AC$3,AD332*AD$3,AE332*AE$3)/SUM(AB$3,AC$3,AD$3,AE$3)</f>
        <v>3012.209589041096</v>
      </c>
      <c r="AG332" s="57">
        <f t="shared" si="1114" ref="AG332">AVERAGE(AF331,AG331)</f>
        <v>1911.50</v>
      </c>
      <c r="AH332" s="57">
        <f t="shared" si="1115" ref="AH332">AVERAGE(AG331,AH331)</f>
        <v>2550.50</v>
      </c>
      <c r="AI332" s="57">
        <f t="shared" si="1116" ref="AI332">AVERAGE(AH331,AI331)</f>
        <v>3157</v>
      </c>
      <c r="AJ332" s="57">
        <f t="shared" si="1117" ref="AJ332">AVERAGE(AI331,AJ331)</f>
        <v>2947.50</v>
      </c>
      <c r="AK332" s="999">
        <f>SUM(AG332*AG$3,AH332*AH$3,AI332*AI$3,AJ332*AJ$3)/SUM(AG$3,AH$3,AI$3,AJ$3)</f>
        <v>2645.8753424657534</v>
      </c>
      <c r="AL332" s="57">
        <f t="shared" si="1118" ref="AL332">AVERAGE(AK331,AL331)</f>
        <v>2894</v>
      </c>
      <c r="AM332" s="57">
        <f>AVERAGE(AL331,AM331)</f>
        <v>3574.50</v>
      </c>
      <c r="AN332" s="57">
        <f>AVERAGE(AM331,AN331)</f>
        <v>3296.50</v>
      </c>
      <c r="AO332" s="57">
        <f t="shared" si="1119" ref="AO332">AVERAGE(AN331,AO331)</f>
        <v>4238</v>
      </c>
      <c r="AP332" s="999">
        <f>SUM(AL332*AL$3,AM332*AM$3,AN332*AN$3,AO332*AO$3)/SUM(AL$3,AM$3,AN$3,AO$3)</f>
        <v>3502.2062841530055</v>
      </c>
      <c r="AQ332" s="57">
        <f>AVERAGE(AP331,AQ331)</f>
        <v>4924.50</v>
      </c>
      <c r="AR332" s="57">
        <f>AVERAGE(AQ331,AR331)</f>
        <v>4293.50</v>
      </c>
      <c r="AS332" s="57">
        <f>AVERAGE(AR331,AS331)</f>
        <v>3876.50</v>
      </c>
      <c r="AT332" s="57">
        <f>AVERAGE(AS331,AT331)</f>
        <v>3402.50</v>
      </c>
      <c r="AU332" s="999">
        <f>SUM(AQ332*AQ$3,AR332*AR$3,AS332*AS$3,AT332*AT$3)/SUM(AQ$3,AR$3,AS$3,AT$3)</f>
        <v>4119.4013698630133</v>
      </c>
      <c r="AV332" s="57">
        <f>AVERAGE(AU331,AV331)</f>
        <v>4191</v>
      </c>
      <c r="AW332" s="57">
        <f>AVERAGE(AV331,AW331)</f>
        <v>5051.50</v>
      </c>
      <c r="AX332" s="57">
        <f>AVERAGE(AW331,AX331)</f>
        <v>4783.50</v>
      </c>
      <c r="AY332" s="57">
        <f>AVERAGE(AX331,AY331)</f>
        <v>4256.50</v>
      </c>
      <c r="AZ332" s="999">
        <f>SUM(AV332*AV$3,AW332*AW$3,AX332*AX$3,AY332*AY$3)/SUM(AV$3,AW$3,AX$3,AY$3)</f>
        <v>4571.3876712328765</v>
      </c>
      <c r="BA332" s="57">
        <f>AVERAGE(AZ331,BA331)</f>
        <v>4083</v>
      </c>
      <c r="BB332" s="57">
        <f>AVERAGE(BA331,BB331)</f>
        <v>3636.50</v>
      </c>
      <c r="BC332" s="57">
        <f>AVERAGE(BB331,BC331)</f>
        <v>2966</v>
      </c>
      <c r="BD332" s="57">
        <f>AVERAGE(BC331,BD331)</f>
        <v>2785.50</v>
      </c>
      <c r="BE332" s="999">
        <f>SUM(BA332*BA$3,BB332*BB$3,BC332*BC$3,BD332*BD$3)/SUM(BA$3,BB$3,BC$3,BD$3)</f>
        <v>3363.0945205479452</v>
      </c>
      <c r="BF332" s="57">
        <f>AVERAGE(BE331,BF331)</f>
        <v>2625</v>
      </c>
      <c r="BG332" s="57">
        <f>AVERAGE(BF331,BG331)</f>
        <v>2415</v>
      </c>
      <c r="BH332" s="745">
        <f>AVERAGE(BG331,BH331)</f>
        <v>2367.50</v>
      </c>
      <c r="BI332" s="128">
        <f>AVERAGE(BH331,BI331)</f>
        <v>2350</v>
      </c>
      <c r="BJ332" s="1000">
        <f>SUM(BF332*BF$3,BG332*BG$3,BH332*BH$3,BI332*BI$3)/SUM(BF$3,BG$3,BH$3,BI$3)</f>
        <v>2438.9344262295081</v>
      </c>
      <c r="BK332" s="128">
        <f>AVERAGE(BJ331,BK331)</f>
        <v>2290</v>
      </c>
      <c r="BL332" s="128">
        <f>AVERAGE(BK331,BL331)</f>
        <v>2230</v>
      </c>
      <c r="BM332" s="128">
        <f>AVERAGE(BL331,BM331)</f>
        <v>2170</v>
      </c>
      <c r="BN332" s="128">
        <f>AVERAGE(BM331,BN331)</f>
        <v>2110</v>
      </c>
      <c r="BO332" s="1000">
        <f>SUM(BK332*BK$3,BL332*BL$3,BM332*BM$3,BN332*BN$3)/SUM(BK$3,BL$3,BM$3,BN$3)</f>
        <v>2199.4246575342468</v>
      </c>
      <c r="BP332" s="1000">
        <f>AVERAGE(BO331,BP331)</f>
        <v>1960</v>
      </c>
      <c r="BQ332" s="1000">
        <f>AVERAGE(BP331,BQ331)</f>
        <v>1720</v>
      </c>
      <c r="BR332" s="1000">
        <f>AVERAGE(BQ331,BR331)</f>
        <v>1480</v>
      </c>
      <c r="BS332" s="57"/>
    </row>
    <row r="333" spans="1:71" s="51" customFormat="1" ht="15">
      <c r="A333" s="42" t="s">
        <v>614</v>
      </c>
      <c r="B333" s="232"/>
      <c r="C333" s="1025"/>
      <c r="D333" s="1025"/>
      <c r="E333" s="1025"/>
      <c r="F333" s="1025"/>
      <c r="G333" s="1025"/>
      <c r="H333" s="650"/>
      <c r="I333" s="650"/>
      <c r="J333" s="650"/>
      <c r="K333" s="650"/>
      <c r="L333" s="1025"/>
      <c r="M333" s="650"/>
      <c r="N333" s="650"/>
      <c r="O333" s="650"/>
      <c r="P333" s="650"/>
      <c r="Q333" s="1025"/>
      <c r="R333" s="650"/>
      <c r="S333" s="650"/>
      <c r="T333" s="650"/>
      <c r="U333" s="650"/>
      <c r="V333" s="1025"/>
      <c r="W333" s="650"/>
      <c r="X333" s="650"/>
      <c r="Y333" s="650"/>
      <c r="Z333" s="650"/>
      <c r="AA333" s="1025"/>
      <c r="AB333" s="650"/>
      <c r="AC333" s="650"/>
      <c r="AD333" s="650"/>
      <c r="AE333" s="650"/>
      <c r="AF333" s="1033">
        <f t="shared" si="1120" ref="AF333">AF331/AA331-1</f>
        <v>-0.24974463738508679</v>
      </c>
      <c r="AG333" s="649">
        <f t="shared" si="1121" ref="AG333">AG331/AB331-1</f>
        <v>-0.38777633289987001</v>
      </c>
      <c r="AH333" s="649">
        <f t="shared" si="1122" ref="AH333">AH331/AC331-1</f>
        <v>-0.16656553398058249</v>
      </c>
      <c r="AI333" s="649">
        <f t="shared" si="1123" ref="AI333">AI331/AD331-1</f>
        <v>0.11538461538461542</v>
      </c>
      <c r="AJ333" s="649">
        <f t="shared" si="1124" ref="AJ333">AJ331/AE331-1</f>
        <v>0.58475153165418647</v>
      </c>
      <c r="AK333" s="1033">
        <f t="shared" si="1125" ref="AK333">AK331/AF331-1</f>
        <v>0.58475153165418647</v>
      </c>
      <c r="AL333" s="649">
        <f t="shared" si="1126" ref="AL333">AL331/AG331-1</f>
        <v>0.46983857264231088</v>
      </c>
      <c r="AM333" s="649">
        <f>AM331/AH331-1</f>
        <v>0.34291954859847107</v>
      </c>
      <c r="AN333" s="649">
        <f>AN331/AI331-1</f>
        <v>-0.18587047939444912</v>
      </c>
      <c r="AO333" s="649">
        <f t="shared" si="1127" ref="AO333:AP333">AO331/AJ331-1</f>
        <v>1.3934707903780068</v>
      </c>
      <c r="AP333" s="1033">
        <f t="shared" si="1127"/>
        <v>1.3934707903780068</v>
      </c>
      <c r="AQ333" s="649">
        <f t="shared" si="1128" ref="AQ333:AV333">AQ331/AL331-1</f>
        <v>0.23612716763005781</v>
      </c>
      <c r="AR333" s="649">
        <f t="shared" si="1128"/>
        <v>0.16833830306316067</v>
      </c>
      <c r="AS333" s="649">
        <f t="shared" si="1128"/>
        <v>0.18560606060606055</v>
      </c>
      <c r="AT333" s="649">
        <f t="shared" si="1128"/>
        <v>-0.39662598707824837</v>
      </c>
      <c r="AU333" s="1033">
        <f t="shared" si="1128"/>
        <v>-0.39662598707824837</v>
      </c>
      <c r="AV333" s="649">
        <f t="shared" si="1128"/>
        <v>0.17371989712415248</v>
      </c>
      <c r="AW333" s="649">
        <f t="shared" si="1129" ref="AW333:BJ333">AW331/AR331-1</f>
        <v>0.17935034802784222</v>
      </c>
      <c r="AX333" s="649">
        <f t="shared" si="1129"/>
        <v>0.30235259947720006</v>
      </c>
      <c r="AY333" s="649">
        <f t="shared" si="1129"/>
        <v>0.19839381320642469</v>
      </c>
      <c r="AZ333" s="1033">
        <f t="shared" si="1129"/>
        <v>0.19839381320642469</v>
      </c>
      <c r="BA333" s="649">
        <f t="shared" si="1130" ref="BA333:BI333">BA331/AV331-1</f>
        <v>-0.17589641434262948</v>
      </c>
      <c r="BB333" s="649">
        <f t="shared" si="1130"/>
        <v>-0.38304151091874872</v>
      </c>
      <c r="BC333" s="649">
        <f t="shared" si="1130"/>
        <v>-0.37644959857270299</v>
      </c>
      <c r="BD333" s="649">
        <f t="shared" si="1130"/>
        <v>-0.31124348473566643</v>
      </c>
      <c r="BE333" s="1033">
        <f t="shared" si="1130"/>
        <v>-0.31124348473566643</v>
      </c>
      <c r="BF333" s="649">
        <f>BF331/BA331-1</f>
        <v>-0.40174039158810737</v>
      </c>
      <c r="BG333" s="649">
        <f>BG331/BB331-1</f>
        <v>-0.24904336734693877</v>
      </c>
      <c r="BH333" s="753">
        <f>BH331/BC331-1</f>
        <v>-0.14878397711015734</v>
      </c>
      <c r="BI333" s="650">
        <f t="shared" si="1130"/>
        <v>-0.16396396396396395</v>
      </c>
      <c r="BJ333" s="1025">
        <f t="shared" si="1129"/>
        <v>-0.16396396396396395</v>
      </c>
      <c r="BK333" s="650">
        <f>BK331/BF331-1</f>
        <v>-0.086868686868686873</v>
      </c>
      <c r="BL333" s="650">
        <f>BL331/BG331-1</f>
        <v>-0.065817409766454338</v>
      </c>
      <c r="BM333" s="650">
        <f>BM331/BH331-1</f>
        <v>-0.10084033613445376</v>
      </c>
      <c r="BN333" s="650">
        <f>BN331/BI331-1</f>
        <v>-0.10344827586206895</v>
      </c>
      <c r="BO333" s="1025">
        <f>BO331/BJ331-1</f>
        <v>-0.10344827586206895</v>
      </c>
      <c r="BP333" s="1025">
        <f>BP331/BO331-1</f>
        <v>-0.11538461538461542</v>
      </c>
      <c r="BQ333" s="1025">
        <f>BQ331/BP331-1</f>
        <v>-0.13043478260869568</v>
      </c>
      <c r="BR333" s="1025">
        <f>BR331/BQ331-1</f>
        <v>-0.15000000000000002</v>
      </c>
      <c r="BS333" s="57"/>
    </row>
    <row r="334" spans="1:71" s="51" customFormat="1" ht="15">
      <c r="A334" s="220"/>
      <c r="B334" s="391"/>
      <c r="C334" s="1000"/>
      <c r="D334" s="1000"/>
      <c r="E334" s="1000"/>
      <c r="F334" s="1000"/>
      <c r="G334" s="1000"/>
      <c r="H334" s="128"/>
      <c r="I334" s="128"/>
      <c r="J334" s="128"/>
      <c r="K334" s="128"/>
      <c r="L334" s="1000"/>
      <c r="M334" s="128"/>
      <c r="N334" s="128"/>
      <c r="O334" s="128"/>
      <c r="P334" s="128"/>
      <c r="Q334" s="1000"/>
      <c r="R334" s="128"/>
      <c r="S334" s="128"/>
      <c r="T334" s="128"/>
      <c r="U334" s="128"/>
      <c r="V334" s="1000"/>
      <c r="W334" s="128"/>
      <c r="X334" s="128"/>
      <c r="Y334" s="128"/>
      <c r="Z334" s="128"/>
      <c r="AA334" s="1000"/>
      <c r="AB334" s="128"/>
      <c r="AC334" s="128"/>
      <c r="AD334" s="128"/>
      <c r="AE334" s="128"/>
      <c r="AF334" s="1000"/>
      <c r="AG334" s="128"/>
      <c r="AH334" s="128"/>
      <c r="AI334" s="128"/>
      <c r="AJ334" s="128"/>
      <c r="AK334" s="1000"/>
      <c r="AL334" s="128"/>
      <c r="AM334" s="128"/>
      <c r="AN334" s="128"/>
      <c r="AO334" s="128"/>
      <c r="AP334" s="1000"/>
      <c r="AQ334" s="128"/>
      <c r="AR334" s="128"/>
      <c r="AS334" s="128"/>
      <c r="AT334" s="128"/>
      <c r="AU334" s="1000"/>
      <c r="AV334" s="128"/>
      <c r="AW334" s="128"/>
      <c r="AX334" s="128"/>
      <c r="AY334" s="128"/>
      <c r="AZ334" s="1000"/>
      <c r="BA334" s="128"/>
      <c r="BB334" s="128"/>
      <c r="BC334" s="128"/>
      <c r="BD334" s="128"/>
      <c r="BE334" s="1000"/>
      <c r="BF334" s="128"/>
      <c r="BG334" s="128"/>
      <c r="BH334" s="465"/>
      <c r="BI334" s="128"/>
      <c r="BJ334" s="1000"/>
      <c r="BK334" s="128"/>
      <c r="BL334" s="128"/>
      <c r="BM334" s="128"/>
      <c r="BN334" s="128"/>
      <c r="BO334" s="1000"/>
      <c r="BP334" s="1000"/>
      <c r="BQ334" s="1000"/>
      <c r="BR334" s="1000"/>
      <c r="BS334" s="57"/>
    </row>
    <row r="335" spans="1:71" s="51" customFormat="1" ht="15">
      <c r="A335" s="220" t="s">
        <v>615</v>
      </c>
      <c r="B335" s="234"/>
      <c r="C335" s="1035"/>
      <c r="D335" s="1035"/>
      <c r="E335" s="1035"/>
      <c r="F335" s="1035"/>
      <c r="G335" s="1035"/>
      <c r="H335" s="221"/>
      <c r="I335" s="221"/>
      <c r="J335" s="221"/>
      <c r="K335" s="221"/>
      <c r="L335" s="1035"/>
      <c r="M335" s="221"/>
      <c r="N335" s="221"/>
      <c r="O335" s="221"/>
      <c r="P335" s="221"/>
      <c r="Q335" s="1035"/>
      <c r="R335" s="221"/>
      <c r="S335" s="221"/>
      <c r="T335" s="221"/>
      <c r="U335" s="221"/>
      <c r="V335" s="1035"/>
      <c r="W335" s="221"/>
      <c r="X335" s="221"/>
      <c r="Y335" s="221"/>
      <c r="Z335" s="221"/>
      <c r="AA335" s="1035"/>
      <c r="AB335" s="54">
        <f>AB309/AB332*(AF$3/AB$3)</f>
        <v>0.018170678001799834</v>
      </c>
      <c r="AC335" s="54">
        <f>AC309/AC332*(AF$3/AC$3)</f>
        <v>0.025837486977383351</v>
      </c>
      <c r="AD335" s="54">
        <f>AD309/AD332*(AF$3/AD$3)</f>
        <v>0.024437273202019258</v>
      </c>
      <c r="AE335" s="54">
        <f>AE309/AE332*(AF$3/AE$3)</f>
        <v>0.02550283675389646</v>
      </c>
      <c r="AF335" s="1036">
        <f>AF309/AF332</f>
        <v>0.023570736995961187</v>
      </c>
      <c r="AG335" s="54">
        <f>AG309/AG332*(AK$3/AG$3)</f>
        <v>0.025459935478245706</v>
      </c>
      <c r="AH335" s="54">
        <f>AH309/AH332*(AK$3/AH$3)</f>
        <v>0.02987994166194519</v>
      </c>
      <c r="AI335" s="54">
        <f>AI309/AI332*(AK$3/AI$3)</f>
        <v>0.026390629518943411</v>
      </c>
      <c r="AJ335" s="54">
        <f>AJ309/AJ332*(AK$3/AJ$3)</f>
        <v>0.024228343843345504</v>
      </c>
      <c r="AK335" s="1036">
        <f>AK309/AK332</f>
        <v>0.026456272854776808</v>
      </c>
      <c r="AL335" s="54">
        <f>AL309/AL332*(AP$3/AL$3)</f>
        <v>0.019456700866514274</v>
      </c>
      <c r="AM335" s="54">
        <f>AM309/AM332*(AP$3/AM$3)</f>
        <v>0.012377048046372427</v>
      </c>
      <c r="AN335" s="54">
        <f>AN309/AN332*(AP$3/AN$3)</f>
        <v>0.014481762607244836</v>
      </c>
      <c r="AO335" s="54">
        <f>AO309/AO332*(AP$3/AO$3)</f>
        <v>0.0093871186162463836</v>
      </c>
      <c r="AP335" s="1036">
        <f>AP309/AP332</f>
        <v>0.013420111834265286</v>
      </c>
      <c r="AQ335" s="54">
        <f>AQ309/AQ332*(AU$3/AQ$3)</f>
        <v>0.0049412799945848986</v>
      </c>
      <c r="AR335" s="54">
        <f>AR309/AR332*(AU$3/AR$3)</f>
        <v>0.011210403664112759</v>
      </c>
      <c r="AS335" s="54">
        <f>AS309/AS332*(AU$3/AS$3)</f>
        <v>0.026609615352261959</v>
      </c>
      <c r="AT335" s="54">
        <f>AT309/AT332*(AU$3/AT$3)</f>
        <v>0.016324313963517877</v>
      </c>
      <c r="AU335" s="1036">
        <f>AU309/AU332</f>
        <v>0.014079715665562527</v>
      </c>
      <c r="AV335" s="54">
        <f>AV309/AV332*(AZ$3/AV$3)</f>
        <v>0.0096768207004427481</v>
      </c>
      <c r="AW335" s="54">
        <f>AW309/AW332*(AZ$3/AW$3)</f>
        <v>0.022232543265899695</v>
      </c>
      <c r="AX335" s="54">
        <f>AX309/AX332*(AZ$3/AX$3)</f>
        <v>0.023222944814829963</v>
      </c>
      <c r="AY335" s="54">
        <f>AY309/AY332*(AZ$3/AY$3)</f>
        <v>0.027962349143764779</v>
      </c>
      <c r="AZ335" s="1036">
        <f>AZ309/AZ332</f>
        <v>0.021000187886954982</v>
      </c>
      <c r="BA335" s="54">
        <f>BA309/BA332*(BE$3/BA$3)</f>
        <v>0.030791629248646146</v>
      </c>
      <c r="BB335" s="54">
        <f>BB309/BB332*(BE$3/BB$3)</f>
        <v>0.029780476638719452</v>
      </c>
      <c r="BC335" s="54">
        <f>BC309/BC332*(BE$3/BC$3)</f>
        <v>0.030765340525960892</v>
      </c>
      <c r="BD335" s="54">
        <f>BD309/BD332*(BE$3/BD$3)</f>
        <v>0.034183231486034041</v>
      </c>
      <c r="BE335" s="1036">
        <f>BE309/BE332</f>
        <v>0.031221245599392926</v>
      </c>
      <c r="BF335" s="54">
        <f>BF309/BF332*(BJ$3/BF$3)</f>
        <v>0.02757927786499215</v>
      </c>
      <c r="BG335" s="54">
        <f>BG309/BG332*(BJ$3/BG$3)</f>
        <v>0.034973721930243666</v>
      </c>
      <c r="BH335" s="754">
        <f>BH309/BH332*(BJ$3/BH$3)</f>
        <v>0.042009090491712961</v>
      </c>
      <c r="BI335" s="927">
        <v>0.031</v>
      </c>
      <c r="BJ335" s="1035">
        <f>BJ309/BJ332</f>
        <v>0.033749173808323533</v>
      </c>
      <c r="BK335" s="927">
        <v>0.031</v>
      </c>
      <c r="BL335" s="927">
        <v>0.031</v>
      </c>
      <c r="BM335" s="927">
        <v>0.031</v>
      </c>
      <c r="BN335" s="927">
        <v>0.031</v>
      </c>
      <c r="BO335" s="1035">
        <f>BO309/BO332</f>
        <v>0.030999999999999989</v>
      </c>
      <c r="BP335" s="1037">
        <v>0.031</v>
      </c>
      <c r="BQ335" s="1037">
        <v>0.031</v>
      </c>
      <c r="BR335" s="1037">
        <v>0.031</v>
      </c>
      <c r="BS335" s="57"/>
    </row>
    <row r="336" spans="1:71" s="51" customFormat="1" ht="15">
      <c r="A336" s="220"/>
      <c r="B336" s="234"/>
      <c r="C336" s="1035"/>
      <c r="D336" s="1035"/>
      <c r="E336" s="1035"/>
      <c r="F336" s="1035"/>
      <c r="G336" s="1035"/>
      <c r="H336" s="221"/>
      <c r="I336" s="221"/>
      <c r="J336" s="221"/>
      <c r="K336" s="221"/>
      <c r="L336" s="1035"/>
      <c r="M336" s="221"/>
      <c r="N336" s="221"/>
      <c r="O336" s="221"/>
      <c r="P336" s="221"/>
      <c r="Q336" s="1035"/>
      <c r="R336" s="221"/>
      <c r="S336" s="221"/>
      <c r="T336" s="221"/>
      <c r="U336" s="221"/>
      <c r="V336" s="1035"/>
      <c r="W336" s="221"/>
      <c r="X336" s="221"/>
      <c r="Y336" s="221"/>
      <c r="Z336" s="221"/>
      <c r="AA336" s="1035"/>
      <c r="AB336" s="221"/>
      <c r="AC336" s="221"/>
      <c r="AD336" s="221"/>
      <c r="AE336" s="221"/>
      <c r="AF336" s="1035"/>
      <c r="AG336" s="221"/>
      <c r="AH336" s="221"/>
      <c r="AI336" s="221"/>
      <c r="AJ336" s="221"/>
      <c r="AK336" s="1035"/>
      <c r="AL336" s="221"/>
      <c r="AM336" s="221"/>
      <c r="AN336" s="221"/>
      <c r="AO336" s="221"/>
      <c r="AP336" s="1035"/>
      <c r="AQ336" s="221"/>
      <c r="AR336" s="221"/>
      <c r="AS336" s="221"/>
      <c r="AT336" s="221"/>
      <c r="AU336" s="1035"/>
      <c r="AV336" s="221"/>
      <c r="AW336" s="221"/>
      <c r="AX336" s="221"/>
      <c r="AY336" s="221"/>
      <c r="AZ336" s="1035"/>
      <c r="BA336" s="221"/>
      <c r="BB336" s="221"/>
      <c r="BC336" s="221"/>
      <c r="BD336" s="221"/>
      <c r="BE336" s="1035"/>
      <c r="BF336" s="221"/>
      <c r="BG336" s="221"/>
      <c r="BH336" s="757"/>
      <c r="BI336" s="221"/>
      <c r="BJ336" s="1035"/>
      <c r="BK336" s="221"/>
      <c r="BL336" s="221"/>
      <c r="BM336" s="221"/>
      <c r="BN336" s="221"/>
      <c r="BO336" s="1035"/>
      <c r="BP336" s="1035"/>
      <c r="BQ336" s="1035"/>
      <c r="BR336" s="1035"/>
      <c r="BS336" s="57"/>
    </row>
    <row r="337" spans="1:71" s="17" customFormat="1" ht="15">
      <c r="A337" s="818" t="s">
        <v>14</v>
      </c>
      <c r="B337" s="818"/>
      <c r="C337" s="837"/>
      <c r="D337" s="837"/>
      <c r="E337" s="837"/>
      <c r="F337" s="837"/>
      <c r="G337" s="837"/>
      <c r="H337" s="837"/>
      <c r="I337" s="837"/>
      <c r="J337" s="837"/>
      <c r="K337" s="837"/>
      <c r="L337" s="837"/>
      <c r="M337" s="837"/>
      <c r="N337" s="837"/>
      <c r="O337" s="837"/>
      <c r="P337" s="837"/>
      <c r="Q337" s="837"/>
      <c r="R337" s="837"/>
      <c r="S337" s="837"/>
      <c r="T337" s="837"/>
      <c r="U337" s="837"/>
      <c r="V337" s="837"/>
      <c r="W337" s="837"/>
      <c r="X337" s="837"/>
      <c r="Y337" s="837"/>
      <c r="Z337" s="837"/>
      <c r="AA337" s="837"/>
      <c r="AB337" s="837"/>
      <c r="AC337" s="837"/>
      <c r="AD337" s="837"/>
      <c r="AE337" s="837"/>
      <c r="AF337" s="837"/>
      <c r="AG337" s="837"/>
      <c r="AH337" s="837"/>
      <c r="AI337" s="837"/>
      <c r="AJ337" s="837"/>
      <c r="AK337" s="837"/>
      <c r="AL337" s="837"/>
      <c r="AM337" s="837"/>
      <c r="AN337" s="837"/>
      <c r="AO337" s="837"/>
      <c r="AP337" s="837"/>
      <c r="AQ337" s="837"/>
      <c r="AR337" s="837"/>
      <c r="AS337" s="837"/>
      <c r="AT337" s="837"/>
      <c r="AU337" s="837"/>
      <c r="AV337" s="837"/>
      <c r="AW337" s="837"/>
      <c r="AX337" s="837"/>
      <c r="AY337" s="837"/>
      <c r="AZ337" s="837"/>
      <c r="BA337" s="837"/>
      <c r="BB337" s="837"/>
      <c r="BC337" s="837"/>
      <c r="BD337" s="837"/>
      <c r="BE337" s="837"/>
      <c r="BF337" s="837"/>
      <c r="BG337" s="837"/>
      <c r="BH337" s="838"/>
      <c r="BI337" s="837"/>
      <c r="BJ337" s="837"/>
      <c r="BK337" s="837"/>
      <c r="BL337" s="837"/>
      <c r="BM337" s="837"/>
      <c r="BN337" s="837"/>
      <c r="BO337" s="837"/>
      <c r="BP337" s="837"/>
      <c r="BQ337" s="837"/>
      <c r="BR337" s="837"/>
      <c r="BS337" s="457"/>
    </row>
    <row r="338" spans="1:71" s="51" customFormat="1" ht="15" hidden="1" outlineLevel="1">
      <c r="A338" s="57" t="s">
        <v>15</v>
      </c>
      <c r="B338" s="391"/>
      <c r="C338" s="999">
        <f t="shared" si="1131" ref="C338:AL338">C967</f>
        <v>9822</v>
      </c>
      <c r="D338" s="999">
        <f t="shared" si="1131"/>
        <v>9800</v>
      </c>
      <c r="E338" s="999">
        <f t="shared" si="1131"/>
        <v>10057</v>
      </c>
      <c r="F338" s="999">
        <f t="shared" si="1131"/>
        <v>10375</v>
      </c>
      <c r="G338" s="999">
        <f t="shared" si="1131"/>
        <v>10932</v>
      </c>
      <c r="H338" s="57">
        <f t="shared" si="1131"/>
        <v>10821</v>
      </c>
      <c r="I338" s="57">
        <f t="shared" si="1131"/>
        <v>11217</v>
      </c>
      <c r="J338" s="57">
        <f t="shared" si="1131"/>
        <v>11728</v>
      </c>
      <c r="K338" s="57">
        <f t="shared" si="1131"/>
        <v>11655</v>
      </c>
      <c r="L338" s="999">
        <f t="shared" si="1131"/>
        <v>11655</v>
      </c>
      <c r="M338" s="57">
        <f t="shared" si="1131"/>
        <v>11489</v>
      </c>
      <c r="N338" s="57">
        <f t="shared" si="1131"/>
        <v>11858</v>
      </c>
      <c r="O338" s="57">
        <f t="shared" si="1131"/>
        <v>12343</v>
      </c>
      <c r="P338" s="57">
        <f t="shared" si="1131"/>
        <v>12202</v>
      </c>
      <c r="Q338" s="999">
        <f t="shared" si="1131"/>
        <v>12202</v>
      </c>
      <c r="R338" s="57">
        <f t="shared" si="1131"/>
        <v>12036</v>
      </c>
      <c r="S338" s="57">
        <f t="shared" si="1131"/>
        <v>12300</v>
      </c>
      <c r="T338" s="57">
        <f t="shared" si="1131"/>
        <v>12772</v>
      </c>
      <c r="U338" s="57">
        <f t="shared" si="1131"/>
        <v>12583</v>
      </c>
      <c r="V338" s="999">
        <f t="shared" si="1131"/>
        <v>12583</v>
      </c>
      <c r="W338" s="57">
        <f t="shared" si="1131"/>
        <v>12705</v>
      </c>
      <c r="X338" s="57">
        <f t="shared" si="1131"/>
        <v>13024</v>
      </c>
      <c r="Y338" s="57">
        <f t="shared" si="1131"/>
        <v>13535</v>
      </c>
      <c r="Z338" s="57">
        <f t="shared" si="1131"/>
        <v>13473</v>
      </c>
      <c r="AA338" s="999">
        <f t="shared" si="1131"/>
        <v>13473</v>
      </c>
      <c r="AB338" s="57">
        <f t="shared" si="1131"/>
        <v>13448</v>
      </c>
      <c r="AC338" s="57">
        <f t="shared" si="1131"/>
        <v>13824</v>
      </c>
      <c r="AD338" s="57">
        <f t="shared" si="1131"/>
        <v>14408</v>
      </c>
      <c r="AE338" s="57">
        <f t="shared" si="1131"/>
        <v>14510</v>
      </c>
      <c r="AF338" s="999">
        <f t="shared" si="1131"/>
        <v>14510</v>
      </c>
      <c r="AG338" s="57">
        <f t="shared" si="1131"/>
        <v>14323</v>
      </c>
      <c r="AH338" s="57">
        <f t="shared" si="1131"/>
        <v>14752</v>
      </c>
      <c r="AI338" s="57">
        <f t="shared" si="1131"/>
        <v>15343</v>
      </c>
      <c r="AJ338" s="57">
        <f t="shared" si="1131"/>
        <v>15343</v>
      </c>
      <c r="AK338" s="999">
        <f t="shared" si="1131"/>
        <v>15343</v>
      </c>
      <c r="AL338" s="57">
        <f t="shared" si="1131"/>
        <v>14999</v>
      </c>
      <c r="AM338" s="57">
        <f>AM967</f>
        <v>15448</v>
      </c>
      <c r="AN338" s="57">
        <f>AN967</f>
        <v>16029</v>
      </c>
      <c r="AO338" s="57">
        <f t="shared" si="1132" ref="AO338:AP338">AO967</f>
        <v>15949</v>
      </c>
      <c r="AP338" s="999">
        <f t="shared" si="1132"/>
        <v>15949</v>
      </c>
      <c r="AQ338" s="57">
        <f t="shared" si="1133" ref="AQ338:AV338">AQ967</f>
        <v>18177</v>
      </c>
      <c r="AR338" s="57">
        <f t="shared" si="1133"/>
        <v>18756</v>
      </c>
      <c r="AS338" s="57">
        <f t="shared" si="1133"/>
        <v>19627</v>
      </c>
      <c r="AT338" s="57">
        <f t="shared" si="1133"/>
        <v>19844</v>
      </c>
      <c r="AU338" s="999">
        <f t="shared" si="1133"/>
        <v>19844</v>
      </c>
      <c r="AV338" s="57">
        <f t="shared" si="1133"/>
        <v>20248</v>
      </c>
      <c r="AW338" s="57">
        <f t="shared" si="1134" ref="AW338:BB338">AW967</f>
        <v>21026</v>
      </c>
      <c r="AX338" s="57">
        <f t="shared" si="1134"/>
        <v>22026</v>
      </c>
      <c r="AY338" s="57">
        <f t="shared" si="1134"/>
        <v>22311</v>
      </c>
      <c r="AZ338" s="999">
        <f t="shared" si="1134"/>
        <v>22311</v>
      </c>
      <c r="BA338" s="57">
        <f t="shared" si="1134"/>
        <v>22499</v>
      </c>
      <c r="BB338" s="57">
        <f t="shared" si="1134"/>
        <v>23355</v>
      </c>
      <c r="BC338" s="57">
        <f t="shared" si="1135" ref="BC338:BH338">BC967</f>
        <v>24518</v>
      </c>
      <c r="BD338" s="57">
        <f t="shared" si="1135"/>
        <v>24709</v>
      </c>
      <c r="BE338" s="999">
        <f t="shared" si="1135"/>
        <v>24709</v>
      </c>
      <c r="BF338" s="57">
        <f t="shared" si="1135"/>
        <v>24945</v>
      </c>
      <c r="BG338" s="57">
        <f t="shared" si="1135"/>
        <v>25929</v>
      </c>
      <c r="BH338" s="745">
        <f t="shared" si="1135"/>
        <v>27059</v>
      </c>
      <c r="BI338" s="128">
        <f>BH338+BI340</f>
        <v>25826.867000000002</v>
      </c>
      <c r="BJ338" s="1000">
        <f>BI338</f>
        <v>25826.867000000002</v>
      </c>
      <c r="BK338" s="128">
        <f>BJ338+BK340</f>
        <v>26009.805</v>
      </c>
      <c r="BL338" s="128">
        <f>BK338+BL340</f>
        <v>26216.069</v>
      </c>
      <c r="BM338" s="128">
        <f>BL338+BM340</f>
        <v>26428.371999999999</v>
      </c>
      <c r="BN338" s="128">
        <f>BM338+BN340</f>
        <v>25116.949670000002</v>
      </c>
      <c r="BO338" s="1000">
        <f>BN338</f>
        <v>25116.949670000002</v>
      </c>
      <c r="BP338" s="1000">
        <f>BO338+BP340</f>
        <v>25734.117808899999</v>
      </c>
      <c r="BQ338" s="1000">
        <f>BP338+BQ340</f>
        <v>26555.416184577</v>
      </c>
      <c r="BR338" s="1000">
        <f>BQ338+BR340</f>
        <v>27401.053511524311</v>
      </c>
      <c r="BS338" s="57"/>
    </row>
    <row r="339" spans="1:71" s="51" customFormat="1" ht="15" hidden="1" outlineLevel="1">
      <c r="A339" s="128"/>
      <c r="B339" s="391"/>
      <c r="C339" s="1000"/>
      <c r="D339" s="1000"/>
      <c r="E339" s="1000"/>
      <c r="F339" s="1000"/>
      <c r="G339" s="1000"/>
      <c r="H339" s="128"/>
      <c r="I339" s="128"/>
      <c r="J339" s="128"/>
      <c r="K339" s="128"/>
      <c r="L339" s="1000"/>
      <c r="M339" s="128"/>
      <c r="N339" s="128"/>
      <c r="O339" s="128"/>
      <c r="P339" s="128"/>
      <c r="Q339" s="1000"/>
      <c r="R339" s="128"/>
      <c r="S339" s="128"/>
      <c r="T339" s="128"/>
      <c r="U339" s="128"/>
      <c r="V339" s="1000"/>
      <c r="W339" s="128"/>
      <c r="X339" s="128"/>
      <c r="Y339" s="128"/>
      <c r="Z339" s="128"/>
      <c r="AA339" s="1000"/>
      <c r="AB339" s="128"/>
      <c r="AC339" s="128"/>
      <c r="AD339" s="128"/>
      <c r="AE339" s="128"/>
      <c r="AF339" s="1000"/>
      <c r="AG339" s="128"/>
      <c r="AH339" s="128"/>
      <c r="AI339" s="128"/>
      <c r="AJ339" s="128"/>
      <c r="AK339" s="1000"/>
      <c r="AL339" s="128"/>
      <c r="AM339" s="128"/>
      <c r="AN339" s="128"/>
      <c r="AO339" s="128"/>
      <c r="AP339" s="1000"/>
      <c r="AQ339" s="128"/>
      <c r="AR339" s="128"/>
      <c r="AS339" s="128"/>
      <c r="AT339" s="128"/>
      <c r="AU339" s="1000"/>
      <c r="AV339" s="128"/>
      <c r="AW339" s="128"/>
      <c r="AX339" s="128"/>
      <c r="AY339" s="128"/>
      <c r="AZ339" s="1000"/>
      <c r="BA339" s="128"/>
      <c r="BB339" s="128"/>
      <c r="BC339" s="128"/>
      <c r="BD339" s="128"/>
      <c r="BE339" s="1000"/>
      <c r="BF339" s="128"/>
      <c r="BG339" s="128"/>
      <c r="BH339" s="465"/>
      <c r="BI339" s="128"/>
      <c r="BJ339" s="1000"/>
      <c r="BK339" s="128"/>
      <c r="BL339" s="128"/>
      <c r="BM339" s="128"/>
      <c r="BN339" s="128"/>
      <c r="BO339" s="1000"/>
      <c r="BP339" s="1000"/>
      <c r="BQ339" s="1000"/>
      <c r="BR339" s="1000"/>
      <c r="BS339" s="57"/>
    </row>
    <row r="340" spans="1:71" s="51" customFormat="1" ht="15" hidden="1" outlineLevel="1">
      <c r="A340" s="57" t="s">
        <v>16</v>
      </c>
      <c r="B340" s="391"/>
      <c r="C340" s="1000"/>
      <c r="D340" s="999">
        <f t="shared" si="1136" ref="D340:K340">D338-C338</f>
        <v>-22</v>
      </c>
      <c r="E340" s="999">
        <f t="shared" si="1136"/>
        <v>257</v>
      </c>
      <c r="F340" s="999">
        <f t="shared" si="1136"/>
        <v>318</v>
      </c>
      <c r="G340" s="999">
        <f t="shared" si="1136"/>
        <v>557</v>
      </c>
      <c r="H340" s="57">
        <f t="shared" si="1136"/>
        <v>-111</v>
      </c>
      <c r="I340" s="57">
        <f t="shared" si="1136"/>
        <v>396</v>
      </c>
      <c r="J340" s="57">
        <f t="shared" si="1136"/>
        <v>511</v>
      </c>
      <c r="K340" s="57">
        <f t="shared" si="1136"/>
        <v>-73</v>
      </c>
      <c r="L340" s="999">
        <f>L338-G338</f>
        <v>723</v>
      </c>
      <c r="M340" s="57">
        <f>M338-L338</f>
        <v>-166</v>
      </c>
      <c r="N340" s="57">
        <f>N338-M338</f>
        <v>369</v>
      </c>
      <c r="O340" s="57">
        <f>O338-N338</f>
        <v>485</v>
      </c>
      <c r="P340" s="57">
        <f>P338-O338</f>
        <v>-141</v>
      </c>
      <c r="Q340" s="999">
        <f>Q338-L338</f>
        <v>547</v>
      </c>
      <c r="R340" s="57">
        <f>R338-Q338</f>
        <v>-166</v>
      </c>
      <c r="S340" s="57">
        <f>S338-R338</f>
        <v>264</v>
      </c>
      <c r="T340" s="57">
        <f>T338-S338</f>
        <v>472</v>
      </c>
      <c r="U340" s="57">
        <f>U338-T338</f>
        <v>-189</v>
      </c>
      <c r="V340" s="999">
        <f>V338-Q338</f>
        <v>381</v>
      </c>
      <c r="W340" s="57">
        <f>W338-V338</f>
        <v>122</v>
      </c>
      <c r="X340" s="57">
        <f>X338-W338</f>
        <v>319</v>
      </c>
      <c r="Y340" s="57">
        <f>Y338-X338</f>
        <v>511</v>
      </c>
      <c r="Z340" s="57">
        <f>Z338-Y338</f>
        <v>-62</v>
      </c>
      <c r="AA340" s="999">
        <f>AA338-V338</f>
        <v>890</v>
      </c>
      <c r="AB340" s="57">
        <f>AB338-AA338</f>
        <v>-25</v>
      </c>
      <c r="AC340" s="57">
        <f>AC338-AB338</f>
        <v>376</v>
      </c>
      <c r="AD340" s="57">
        <f>AD338-AC338</f>
        <v>584</v>
      </c>
      <c r="AE340" s="57">
        <f>AE338-AD338</f>
        <v>102</v>
      </c>
      <c r="AF340" s="999">
        <f>AF338-AA338</f>
        <v>1037</v>
      </c>
      <c r="AG340" s="57">
        <f>AG338-AF338</f>
        <v>-187</v>
      </c>
      <c r="AH340" s="57">
        <f>AH338-AG338</f>
        <v>429</v>
      </c>
      <c r="AI340" s="57">
        <f>AI338-AH338</f>
        <v>591</v>
      </c>
      <c r="AJ340" s="57">
        <f>AJ338-AI338</f>
        <v>0</v>
      </c>
      <c r="AK340" s="999">
        <f>AK338-AF338</f>
        <v>833</v>
      </c>
      <c r="AL340" s="57">
        <f>AL338-AK338</f>
        <v>-344</v>
      </c>
      <c r="AM340" s="57">
        <f>AM338-AL338</f>
        <v>449</v>
      </c>
      <c r="AN340" s="57">
        <f>AN338-AM338</f>
        <v>581</v>
      </c>
      <c r="AO340" s="57">
        <f>AO338-AN338</f>
        <v>-80</v>
      </c>
      <c r="AP340" s="999">
        <f>AP338-AK338</f>
        <v>606</v>
      </c>
      <c r="AQ340" s="57">
        <f>AQ338-AP338</f>
        <v>2228</v>
      </c>
      <c r="AR340" s="57">
        <f>AR338-AQ338</f>
        <v>579</v>
      </c>
      <c r="AS340" s="57">
        <f>AS338-AR338</f>
        <v>871</v>
      </c>
      <c r="AT340" s="57">
        <f>AT338-AS338</f>
        <v>217</v>
      </c>
      <c r="AU340" s="999">
        <f>AU338-AP338</f>
        <v>3895</v>
      </c>
      <c r="AV340" s="57">
        <f>AV338-AU338</f>
        <v>404</v>
      </c>
      <c r="AW340" s="57">
        <f>AW338-AV338</f>
        <v>778</v>
      </c>
      <c r="AX340" s="57">
        <f>AX338-AW338</f>
        <v>1000</v>
      </c>
      <c r="AY340" s="57">
        <f>AY338-AX338</f>
        <v>285</v>
      </c>
      <c r="AZ340" s="999">
        <f>AZ338-AU338</f>
        <v>2467</v>
      </c>
      <c r="BA340" s="57">
        <f>BA338-AZ338</f>
        <v>188</v>
      </c>
      <c r="BB340" s="57">
        <f>BB338-BA338</f>
        <v>856</v>
      </c>
      <c r="BC340" s="57">
        <f>BC338-BB338</f>
        <v>1163</v>
      </c>
      <c r="BD340" s="57">
        <f>BD338-BC338</f>
        <v>191</v>
      </c>
      <c r="BE340" s="999">
        <f>BE338-AZ338</f>
        <v>2398</v>
      </c>
      <c r="BF340" s="57">
        <f>BF338-BE338</f>
        <v>236</v>
      </c>
      <c r="BG340" s="57">
        <f>BG338-BF338</f>
        <v>984</v>
      </c>
      <c r="BH340" s="745">
        <f>BH338-BG338</f>
        <v>1130</v>
      </c>
      <c r="BI340" s="128">
        <f t="shared" si="1137" ref="BI340:BR340">BI56</f>
        <v>-1232.1329999999991</v>
      </c>
      <c r="BJ340" s="1000">
        <f t="shared" si="1137"/>
        <v>1003.8669999999978</v>
      </c>
      <c r="BK340" s="128">
        <f t="shared" si="1137"/>
        <v>182.93799999999996</v>
      </c>
      <c r="BL340" s="128">
        <f t="shared" si="1137"/>
        <v>206.2639999999997</v>
      </c>
      <c r="BM340" s="128">
        <f t="shared" si="1137"/>
        <v>212.30300000000048</v>
      </c>
      <c r="BN340" s="128">
        <f t="shared" si="1137"/>
        <v>-1311.4223299999983</v>
      </c>
      <c r="BO340" s="1000">
        <f t="shared" si="1137"/>
        <v>-709.91732999999579</v>
      </c>
      <c r="BP340" s="1000">
        <f t="shared" si="1137"/>
        <v>617.16813889999844</v>
      </c>
      <c r="BQ340" s="1000">
        <f t="shared" si="1137"/>
        <v>821.2983756769994</v>
      </c>
      <c r="BR340" s="1000">
        <f t="shared" si="1137"/>
        <v>845.63732694731186</v>
      </c>
      <c r="BS340" s="57"/>
    </row>
    <row r="341" spans="1:71" s="22" customFormat="1" ht="15" collapsed="1">
      <c r="A341" s="491"/>
      <c r="B341" s="485"/>
      <c r="C341" s="1010"/>
      <c r="D341" s="1010"/>
      <c r="E341" s="1010"/>
      <c r="F341" s="1010"/>
      <c r="G341" s="1010"/>
      <c r="H341" s="840"/>
      <c r="I341" s="840"/>
      <c r="J341" s="840"/>
      <c r="K341" s="840"/>
      <c r="L341" s="1010"/>
      <c r="M341" s="840"/>
      <c r="N341" s="840"/>
      <c r="O341" s="840"/>
      <c r="P341" s="840"/>
      <c r="Q341" s="1010"/>
      <c r="R341" s="840"/>
      <c r="S341" s="840"/>
      <c r="T341" s="840"/>
      <c r="U341" s="840"/>
      <c r="V341" s="1010"/>
      <c r="W341" s="840"/>
      <c r="X341" s="840"/>
      <c r="Y341" s="840"/>
      <c r="Z341" s="840"/>
      <c r="AA341" s="1010"/>
      <c r="AB341" s="840"/>
      <c r="AC341" s="840"/>
      <c r="AD341" s="840"/>
      <c r="AE341" s="840"/>
      <c r="AF341" s="1010"/>
      <c r="AG341" s="840"/>
      <c r="AH341" s="840"/>
      <c r="AI341" s="840"/>
      <c r="AJ341" s="840"/>
      <c r="AK341" s="1010"/>
      <c r="AL341" s="840"/>
      <c r="AM341" s="840"/>
      <c r="AN341" s="840"/>
      <c r="AO341" s="840"/>
      <c r="AP341" s="1010"/>
      <c r="AQ341" s="840"/>
      <c r="AR341" s="840"/>
      <c r="AS341" s="840"/>
      <c r="AT341" s="840"/>
      <c r="AU341" s="1010"/>
      <c r="AV341" s="840"/>
      <c r="AW341" s="840"/>
      <c r="AX341" s="840"/>
      <c r="AY341" s="840"/>
      <c r="AZ341" s="1010"/>
      <c r="BA341" s="840"/>
      <c r="BB341" s="840"/>
      <c r="BC341" s="840"/>
      <c r="BD341" s="840"/>
      <c r="BE341" s="1010"/>
      <c r="BF341" s="840"/>
      <c r="BG341" s="840"/>
      <c r="BH341" s="841"/>
      <c r="BI341" s="840"/>
      <c r="BJ341" s="1010"/>
      <c r="BK341" s="840"/>
      <c r="BL341" s="840"/>
      <c r="BM341" s="840"/>
      <c r="BN341" s="840"/>
      <c r="BO341" s="1010"/>
      <c r="BP341" s="1010"/>
      <c r="BQ341" s="1010"/>
      <c r="BR341" s="1010"/>
      <c r="BS341" s="822"/>
    </row>
    <row r="342" spans="1:71" s="17" customFormat="1" ht="15">
      <c r="A342" s="818" t="s">
        <v>17</v>
      </c>
      <c r="B342" s="818"/>
      <c r="C342" s="837"/>
      <c r="D342" s="837"/>
      <c r="E342" s="837"/>
      <c r="F342" s="837"/>
      <c r="G342" s="837"/>
      <c r="H342" s="837"/>
      <c r="I342" s="837"/>
      <c r="J342" s="837"/>
      <c r="K342" s="837"/>
      <c r="L342" s="837"/>
      <c r="M342" s="837"/>
      <c r="N342" s="837"/>
      <c r="O342" s="837"/>
      <c r="P342" s="837"/>
      <c r="Q342" s="837"/>
      <c r="R342" s="837"/>
      <c r="S342" s="837"/>
      <c r="T342" s="837"/>
      <c r="U342" s="837"/>
      <c r="V342" s="837"/>
      <c r="W342" s="837"/>
      <c r="X342" s="837"/>
      <c r="Y342" s="837"/>
      <c r="Z342" s="837"/>
      <c r="AA342" s="837"/>
      <c r="AB342" s="837"/>
      <c r="AC342" s="837"/>
      <c r="AD342" s="837"/>
      <c r="AE342" s="837"/>
      <c r="AF342" s="837"/>
      <c r="AG342" s="837"/>
      <c r="AH342" s="837"/>
      <c r="AI342" s="837"/>
      <c r="AJ342" s="837"/>
      <c r="AK342" s="837"/>
      <c r="AL342" s="837"/>
      <c r="AM342" s="837"/>
      <c r="AN342" s="837"/>
      <c r="AO342" s="837"/>
      <c r="AP342" s="837"/>
      <c r="AQ342" s="837"/>
      <c r="AR342" s="837"/>
      <c r="AS342" s="837"/>
      <c r="AT342" s="837"/>
      <c r="AU342" s="837"/>
      <c r="AV342" s="837"/>
      <c r="AW342" s="837"/>
      <c r="AX342" s="837"/>
      <c r="AY342" s="837"/>
      <c r="AZ342" s="837"/>
      <c r="BA342" s="837"/>
      <c r="BB342" s="837"/>
      <c r="BC342" s="837"/>
      <c r="BD342" s="837"/>
      <c r="BE342" s="837"/>
      <c r="BF342" s="837"/>
      <c r="BG342" s="837"/>
      <c r="BH342" s="838"/>
      <c r="BI342" s="837"/>
      <c r="BJ342" s="837"/>
      <c r="BK342" s="837"/>
      <c r="BL342" s="837"/>
      <c r="BM342" s="837"/>
      <c r="BN342" s="837"/>
      <c r="BO342" s="837"/>
      <c r="BP342" s="837"/>
      <c r="BQ342" s="837"/>
      <c r="BR342" s="837"/>
      <c r="BS342" s="457"/>
    </row>
    <row r="343" spans="1:71" s="300" customFormat="1" ht="15">
      <c r="A343" s="111" t="s">
        <v>18</v>
      </c>
      <c r="B343" s="233"/>
      <c r="C343" s="989">
        <f t="shared" si="1138" ref="C343:AL343">C964+C965</f>
        <v>32077</v>
      </c>
      <c r="D343" s="989">
        <f t="shared" si="1138"/>
        <v>32918</v>
      </c>
      <c r="E343" s="989">
        <f t="shared" si="1138"/>
        <v>34781</v>
      </c>
      <c r="F343" s="989">
        <f t="shared" si="1138"/>
        <v>36183</v>
      </c>
      <c r="G343" s="989">
        <f t="shared" si="1138"/>
        <v>34243</v>
      </c>
      <c r="H343" s="92">
        <f t="shared" si="1138"/>
        <v>34420</v>
      </c>
      <c r="I343" s="92">
        <f t="shared" si="1138"/>
        <v>35005</v>
      </c>
      <c r="J343" s="92">
        <f t="shared" si="1138"/>
        <v>34832</v>
      </c>
      <c r="K343" s="92">
        <f t="shared" si="1138"/>
        <v>35303</v>
      </c>
      <c r="L343" s="989">
        <f t="shared" si="1138"/>
        <v>35303</v>
      </c>
      <c r="M343" s="92">
        <f t="shared" si="1138"/>
        <v>35421</v>
      </c>
      <c r="N343" s="92">
        <f t="shared" si="1138"/>
        <v>35929</v>
      </c>
      <c r="O343" s="92">
        <f t="shared" si="1138"/>
        <v>35986</v>
      </c>
      <c r="P343" s="92">
        <f t="shared" si="1138"/>
        <v>36116</v>
      </c>
      <c r="Q343" s="989">
        <f t="shared" si="1138"/>
        <v>36116</v>
      </c>
      <c r="R343" s="92">
        <f t="shared" si="1138"/>
        <v>36829</v>
      </c>
      <c r="S343" s="92">
        <f t="shared" si="1138"/>
        <v>37119</v>
      </c>
      <c r="T343" s="92">
        <f t="shared" si="1138"/>
        <v>37678</v>
      </c>
      <c r="U343" s="92">
        <f t="shared" si="1138"/>
        <v>37489</v>
      </c>
      <c r="V343" s="989">
        <f t="shared" si="1138"/>
        <v>37489</v>
      </c>
      <c r="W343" s="92">
        <f t="shared" si="1138"/>
        <v>37851</v>
      </c>
      <c r="X343" s="92">
        <f t="shared" si="1138"/>
        <v>38118</v>
      </c>
      <c r="Y343" s="92">
        <f t="shared" si="1138"/>
        <v>39381</v>
      </c>
      <c r="Z343" s="92">
        <f t="shared" si="1138"/>
        <v>38874</v>
      </c>
      <c r="AA343" s="989">
        <f t="shared" si="1138"/>
        <v>38874</v>
      </c>
      <c r="AB343" s="92">
        <f t="shared" si="1138"/>
        <v>38448</v>
      </c>
      <c r="AC343" s="92">
        <f t="shared" si="1138"/>
        <v>38836</v>
      </c>
      <c r="AD343" s="92">
        <f t="shared" si="1138"/>
        <v>39153</v>
      </c>
      <c r="AE343" s="92">
        <f t="shared" si="1138"/>
        <v>39631</v>
      </c>
      <c r="AF343" s="989">
        <f t="shared" si="1138"/>
        <v>39631</v>
      </c>
      <c r="AG343" s="92">
        <f t="shared" si="1138"/>
        <v>39744</v>
      </c>
      <c r="AH343" s="92">
        <f t="shared" si="1138"/>
        <v>40442</v>
      </c>
      <c r="AI343" s="92">
        <f t="shared" si="1138"/>
        <v>40454</v>
      </c>
      <c r="AJ343" s="92">
        <f t="shared" si="1138"/>
        <v>40012</v>
      </c>
      <c r="AK343" s="989">
        <f t="shared" si="1138"/>
        <v>40012</v>
      </c>
      <c r="AL343" s="92">
        <f t="shared" si="1138"/>
        <v>39392</v>
      </c>
      <c r="AM343" s="92">
        <f>AM964+AM965</f>
        <v>39897</v>
      </c>
      <c r="AN343" s="92">
        <f>AN964+AN965</f>
        <v>40746</v>
      </c>
      <c r="AO343" s="92">
        <f t="shared" si="1139" ref="AO343:AP343">AO964+AO965</f>
        <v>40378</v>
      </c>
      <c r="AP343" s="989">
        <f t="shared" si="1139"/>
        <v>40378</v>
      </c>
      <c r="AQ343" s="92">
        <f t="shared" si="1140" ref="AQ343:AV343">AQ964+AQ965</f>
        <v>32633</v>
      </c>
      <c r="AR343" s="92">
        <f t="shared" si="1140"/>
        <v>32876</v>
      </c>
      <c r="AS343" s="92">
        <f t="shared" si="1140"/>
        <v>34549</v>
      </c>
      <c r="AT343" s="92">
        <f t="shared" si="1140"/>
        <v>34333</v>
      </c>
      <c r="AU343" s="989">
        <f t="shared" si="1140"/>
        <v>34333</v>
      </c>
      <c r="AV343" s="92">
        <f t="shared" si="1140"/>
        <v>34265</v>
      </c>
      <c r="AW343" s="92">
        <f t="shared" si="1141" ref="AW343:BB343">AW964+AW965</f>
        <v>35571</v>
      </c>
      <c r="AX343" s="92">
        <f t="shared" si="1141"/>
        <v>37805</v>
      </c>
      <c r="AY343" s="92">
        <f t="shared" si="1141"/>
        <v>38814</v>
      </c>
      <c r="AZ343" s="989">
        <f t="shared" si="1141"/>
        <v>38814</v>
      </c>
      <c r="BA343" s="92">
        <f t="shared" si="1141"/>
        <v>39982</v>
      </c>
      <c r="BB343" s="92">
        <f t="shared" si="1141"/>
        <v>41870</v>
      </c>
      <c r="BC343" s="92">
        <f t="shared" si="1142" ref="BC343:BH343">BC964+BC965</f>
        <v>41968</v>
      </c>
      <c r="BD343" s="92">
        <f t="shared" si="1142"/>
        <v>41205</v>
      </c>
      <c r="BE343" s="989">
        <f t="shared" si="1142"/>
        <v>41205</v>
      </c>
      <c r="BF343" s="92">
        <f t="shared" si="1142"/>
        <v>41468</v>
      </c>
      <c r="BG343" s="92">
        <f t="shared" si="1142"/>
        <v>42897</v>
      </c>
      <c r="BH343" s="464">
        <f t="shared" si="1142"/>
        <v>43017</v>
      </c>
      <c r="BI343" s="92"/>
      <c r="BJ343" s="989"/>
      <c r="BK343" s="92"/>
      <c r="BL343" s="92"/>
      <c r="BM343" s="92"/>
      <c r="BN343" s="92"/>
      <c r="BO343" s="989"/>
      <c r="BP343" s="989"/>
      <c r="BQ343" s="989"/>
      <c r="BR343" s="989"/>
      <c r="BS343" s="305"/>
    </row>
    <row r="344" spans="1:71" s="300" customFormat="1" ht="15">
      <c r="A344" s="112" t="s">
        <v>19</v>
      </c>
      <c r="B344" s="113"/>
      <c r="C344" s="995">
        <f t="shared" si="1143" ref="C344:AL344">C953</f>
        <v>6355</v>
      </c>
      <c r="D344" s="995">
        <f t="shared" si="1143"/>
        <v>6552</v>
      </c>
      <c r="E344" s="995">
        <f t="shared" si="1143"/>
        <v>7251</v>
      </c>
      <c r="F344" s="995">
        <f t="shared" si="1143"/>
        <v>8767</v>
      </c>
      <c r="G344" s="995">
        <f t="shared" si="1143"/>
        <v>7621</v>
      </c>
      <c r="H344" s="115">
        <f t="shared" si="1143"/>
        <v>7512</v>
      </c>
      <c r="I344" s="115">
        <f t="shared" si="1143"/>
        <v>7500</v>
      </c>
      <c r="J344" s="115">
        <f t="shared" si="1143"/>
        <v>7555</v>
      </c>
      <c r="K344" s="115">
        <f t="shared" si="1143"/>
        <v>8490</v>
      </c>
      <c r="L344" s="995">
        <f t="shared" si="1143"/>
        <v>8490</v>
      </c>
      <c r="M344" s="115">
        <f t="shared" si="1143"/>
        <v>8408</v>
      </c>
      <c r="N344" s="115">
        <f t="shared" si="1143"/>
        <v>8520</v>
      </c>
      <c r="O344" s="115">
        <f t="shared" si="1143"/>
        <v>8468</v>
      </c>
      <c r="P344" s="115">
        <f t="shared" si="1143"/>
        <v>8518</v>
      </c>
      <c r="Q344" s="995">
        <f t="shared" si="1143"/>
        <v>8518</v>
      </c>
      <c r="R344" s="115">
        <f t="shared" si="1143"/>
        <v>8573</v>
      </c>
      <c r="S344" s="115">
        <f t="shared" si="1143"/>
        <v>8650</v>
      </c>
      <c r="T344" s="115">
        <f t="shared" si="1143"/>
        <v>8922</v>
      </c>
      <c r="U344" s="115">
        <f t="shared" si="1143"/>
        <v>8745</v>
      </c>
      <c r="V344" s="995">
        <f t="shared" si="1143"/>
        <v>8745</v>
      </c>
      <c r="W344" s="115">
        <f t="shared" si="1143"/>
        <v>8723</v>
      </c>
      <c r="X344" s="115">
        <f t="shared" si="1143"/>
        <v>8722</v>
      </c>
      <c r="Y344" s="115">
        <f t="shared" si="1143"/>
        <v>9748</v>
      </c>
      <c r="Z344" s="115">
        <f t="shared" si="1143"/>
        <v>8921</v>
      </c>
      <c r="AA344" s="995">
        <f t="shared" si="1143"/>
        <v>8921</v>
      </c>
      <c r="AB344" s="115">
        <f t="shared" si="1143"/>
        <v>8916</v>
      </c>
      <c r="AC344" s="115">
        <f t="shared" si="1143"/>
        <v>8910</v>
      </c>
      <c r="AD344" s="115">
        <f t="shared" si="1143"/>
        <v>8994</v>
      </c>
      <c r="AE344" s="115">
        <f t="shared" si="1143"/>
        <v>9565</v>
      </c>
      <c r="AF344" s="995">
        <f t="shared" si="1143"/>
        <v>9565</v>
      </c>
      <c r="AG344" s="115">
        <f t="shared" si="1143"/>
        <v>9374</v>
      </c>
      <c r="AH344" s="115">
        <f t="shared" si="1143"/>
        <v>9292</v>
      </c>
      <c r="AI344" s="115">
        <f t="shared" si="1143"/>
        <v>9363</v>
      </c>
      <c r="AJ344" s="115">
        <f t="shared" si="1143"/>
        <v>9211</v>
      </c>
      <c r="AK344" s="995">
        <f t="shared" si="1143"/>
        <v>9211</v>
      </c>
      <c r="AL344" s="115">
        <f t="shared" si="1143"/>
        <v>9214</v>
      </c>
      <c r="AM344" s="115">
        <f>AM953</f>
        <v>9290</v>
      </c>
      <c r="AN344" s="115">
        <f>AN953</f>
        <v>9097</v>
      </c>
      <c r="AO344" s="115">
        <f t="shared" si="1144" ref="AO344:AP344">AO953</f>
        <v>9220</v>
      </c>
      <c r="AP344" s="995">
        <f t="shared" si="1144"/>
        <v>9220</v>
      </c>
      <c r="AQ344" s="115">
        <f t="shared" si="1145" ref="AQ344:AV344">AQ953</f>
        <v>9645</v>
      </c>
      <c r="AR344" s="115">
        <f t="shared" si="1145"/>
        <v>9497</v>
      </c>
      <c r="AS344" s="115">
        <f t="shared" si="1145"/>
        <v>10442</v>
      </c>
      <c r="AT344" s="115">
        <f t="shared" si="1145"/>
        <v>10024</v>
      </c>
      <c r="AU344" s="995">
        <f t="shared" si="1145"/>
        <v>10024</v>
      </c>
      <c r="AV344" s="115">
        <f t="shared" si="1145"/>
        <v>9691</v>
      </c>
      <c r="AW344" s="115">
        <f t="shared" si="1146" ref="AW344:BB344">AW953</f>
        <v>9376</v>
      </c>
      <c r="AX344" s="115">
        <f t="shared" si="1146"/>
        <v>9961</v>
      </c>
      <c r="AY344" s="115">
        <f t="shared" si="1146"/>
        <v>9606</v>
      </c>
      <c r="AZ344" s="995">
        <f t="shared" si="1146"/>
        <v>9606</v>
      </c>
      <c r="BA344" s="115">
        <f t="shared" si="1146"/>
        <v>9528</v>
      </c>
      <c r="BB344" s="115">
        <f t="shared" si="1146"/>
        <v>9151</v>
      </c>
      <c r="BC344" s="115">
        <f t="shared" si="1147" ref="BC344:BH344">BC953</f>
        <v>9083</v>
      </c>
      <c r="BD344" s="115">
        <f t="shared" si="1147"/>
        <v>8809</v>
      </c>
      <c r="BE344" s="995">
        <f t="shared" si="1147"/>
        <v>8809</v>
      </c>
      <c r="BF344" s="115">
        <f t="shared" si="1147"/>
        <v>8726</v>
      </c>
      <c r="BG344" s="115">
        <f t="shared" si="1147"/>
        <v>8730</v>
      </c>
      <c r="BH344" s="641">
        <f t="shared" si="1147"/>
        <v>9013</v>
      </c>
      <c r="BI344" s="115"/>
      <c r="BJ344" s="995"/>
      <c r="BK344" s="115"/>
      <c r="BL344" s="115"/>
      <c r="BM344" s="115"/>
      <c r="BN344" s="115"/>
      <c r="BO344" s="995"/>
      <c r="BP344" s="995"/>
      <c r="BQ344" s="995"/>
      <c r="BR344" s="995"/>
      <c r="BS344" s="305"/>
    </row>
    <row r="345" spans="1:71" s="51" customFormat="1" ht="15">
      <c r="A345" s="57" t="s">
        <v>20</v>
      </c>
      <c r="B345" s="391"/>
      <c r="C345" s="999">
        <f t="shared" si="1148" ref="C345:AK345">ROUND(INDEX(MO_LR_GLR,0,COLUMN())-INDEX(MO_LR_RR,0,COLUMN()),6)</f>
        <v>25722</v>
      </c>
      <c r="D345" s="999">
        <f t="shared" si="1148"/>
        <v>26366</v>
      </c>
      <c r="E345" s="999">
        <f t="shared" si="1148"/>
        <v>27530</v>
      </c>
      <c r="F345" s="999">
        <f t="shared" si="1148"/>
        <v>27416</v>
      </c>
      <c r="G345" s="999">
        <f t="shared" si="1148"/>
        <v>26622</v>
      </c>
      <c r="H345" s="57">
        <f t="shared" si="1148"/>
        <v>26908</v>
      </c>
      <c r="I345" s="57">
        <f t="shared" si="1148"/>
        <v>27505</v>
      </c>
      <c r="J345" s="57">
        <f t="shared" si="1148"/>
        <v>27277</v>
      </c>
      <c r="K345" s="57">
        <f t="shared" si="1148"/>
        <v>26813</v>
      </c>
      <c r="L345" s="999">
        <f t="shared" si="1148"/>
        <v>26813</v>
      </c>
      <c r="M345" s="57">
        <f t="shared" si="1148"/>
        <v>27013</v>
      </c>
      <c r="N345" s="57">
        <f t="shared" si="1148"/>
        <v>27409</v>
      </c>
      <c r="O345" s="57">
        <f t="shared" si="1148"/>
        <v>27518</v>
      </c>
      <c r="P345" s="57">
        <f t="shared" si="1148"/>
        <v>27598</v>
      </c>
      <c r="Q345" s="999">
        <f t="shared" si="1148"/>
        <v>27598</v>
      </c>
      <c r="R345" s="57">
        <f t="shared" si="1148"/>
        <v>28256</v>
      </c>
      <c r="S345" s="57">
        <f t="shared" si="1148"/>
        <v>28469</v>
      </c>
      <c r="T345" s="57">
        <f t="shared" si="1148"/>
        <v>28756</v>
      </c>
      <c r="U345" s="57">
        <f t="shared" si="1148"/>
        <v>28744</v>
      </c>
      <c r="V345" s="999">
        <f t="shared" si="1148"/>
        <v>28744</v>
      </c>
      <c r="W345" s="57">
        <f t="shared" si="1148"/>
        <v>29128</v>
      </c>
      <c r="X345" s="57">
        <f t="shared" si="1148"/>
        <v>29396</v>
      </c>
      <c r="Y345" s="57">
        <f t="shared" si="1148"/>
        <v>29633</v>
      </c>
      <c r="Z345" s="57">
        <f t="shared" si="1148"/>
        <v>29953</v>
      </c>
      <c r="AA345" s="999">
        <f t="shared" si="1148"/>
        <v>29953</v>
      </c>
      <c r="AB345" s="57">
        <f t="shared" si="1148"/>
        <v>29532</v>
      </c>
      <c r="AC345" s="57">
        <f t="shared" si="1148"/>
        <v>29926</v>
      </c>
      <c r="AD345" s="57">
        <f t="shared" si="1148"/>
        <v>30159</v>
      </c>
      <c r="AE345" s="57">
        <f t="shared" si="1148"/>
        <v>30066</v>
      </c>
      <c r="AF345" s="999">
        <f t="shared" si="1148"/>
        <v>30066</v>
      </c>
      <c r="AG345" s="57">
        <f t="shared" si="1148"/>
        <v>30370</v>
      </c>
      <c r="AH345" s="57">
        <f t="shared" si="1148"/>
        <v>31150</v>
      </c>
      <c r="AI345" s="57">
        <f t="shared" si="1148"/>
        <v>31091</v>
      </c>
      <c r="AJ345" s="57">
        <f t="shared" si="1148"/>
        <v>30801</v>
      </c>
      <c r="AK345" s="999">
        <f t="shared" si="1148"/>
        <v>30801</v>
      </c>
      <c r="AL345" s="57">
        <f>ROUND(INDEX(MO_LR_GLR,0,COLUMN())-INDEX(MO_LR_RR,0,COLUMN()),6)</f>
        <v>30178</v>
      </c>
      <c r="AM345" s="57">
        <f>ROUND(INDEX(MO_LR_GLR,0,COLUMN())-INDEX(MO_LR_RR,0,COLUMN()),6)</f>
        <v>30607</v>
      </c>
      <c r="AN345" s="57">
        <f>ROUND(INDEX(MO_LR_GLR,0,COLUMN())-INDEX(MO_LR_RR,0,COLUMN()),6)</f>
        <v>31649</v>
      </c>
      <c r="AO345" s="57">
        <f t="shared" si="1149" ref="AO345:AP345">ROUND(INDEX(MO_LR_GLR,0,COLUMN())-INDEX(MO_LR_RR,0,COLUMN()),6)</f>
        <v>31158</v>
      </c>
      <c r="AP345" s="999">
        <f t="shared" si="1149"/>
        <v>31158</v>
      </c>
      <c r="AQ345" s="57">
        <f t="shared" si="1150" ref="AQ345:AV345">ROUND(INDEX(MO_LR_GLR,0,COLUMN())-INDEX(MO_LR_RR,0,COLUMN()),6)</f>
        <v>22988</v>
      </c>
      <c r="AR345" s="57">
        <f t="shared" si="1150"/>
        <v>23379</v>
      </c>
      <c r="AS345" s="57">
        <f t="shared" si="1150"/>
        <v>24107</v>
      </c>
      <c r="AT345" s="57">
        <f t="shared" si="1150"/>
        <v>24309</v>
      </c>
      <c r="AU345" s="999">
        <f t="shared" si="1150"/>
        <v>24309</v>
      </c>
      <c r="AV345" s="57">
        <f t="shared" si="1150"/>
        <v>24574</v>
      </c>
      <c r="AW345" s="57">
        <f t="shared" si="1151" ref="AW345:BB345">ROUND(INDEX(MO_LR_GLR,0,COLUMN())-INDEX(MO_LR_RR,0,COLUMN()),6)</f>
        <v>26195</v>
      </c>
      <c r="AX345" s="57">
        <f t="shared" si="1151"/>
        <v>27844</v>
      </c>
      <c r="AY345" s="57">
        <f t="shared" si="1151"/>
        <v>29208</v>
      </c>
      <c r="AZ345" s="999">
        <f t="shared" si="1151"/>
        <v>29208</v>
      </c>
      <c r="BA345" s="57">
        <f t="shared" si="1151"/>
        <v>30454</v>
      </c>
      <c r="BB345" s="57">
        <f t="shared" si="1151"/>
        <v>32719</v>
      </c>
      <c r="BC345" s="57">
        <f t="shared" si="1152" ref="BC345:BH345">ROUND(INDEX(MO_LR_GLR,0,COLUMN())-INDEX(MO_LR_RR,0,COLUMN()),6)</f>
        <v>32885</v>
      </c>
      <c r="BD345" s="57">
        <f t="shared" si="1152"/>
        <v>32396</v>
      </c>
      <c r="BE345" s="999">
        <f t="shared" si="1152"/>
        <v>32396</v>
      </c>
      <c r="BF345" s="57">
        <f t="shared" si="1152"/>
        <v>32742</v>
      </c>
      <c r="BG345" s="57">
        <f t="shared" si="1152"/>
        <v>34167</v>
      </c>
      <c r="BH345" s="745">
        <f t="shared" si="1152"/>
        <v>34004</v>
      </c>
      <c r="BI345" s="128">
        <f>BH345+INDEX(MO_LR_ChangeInNLR,0,COLUMN())</f>
        <v>34468.493165</v>
      </c>
      <c r="BJ345" s="1000">
        <f>BI345</f>
        <v>34468.493165</v>
      </c>
      <c r="BK345" s="128">
        <f>BJ345+INDEX(MO_LR_ChangeInNLR,0,COLUMN())</f>
        <v>34954.064438000001</v>
      </c>
      <c r="BL345" s="128">
        <f>BK345+INDEX(MO_LR_ChangeInNLR,0,COLUMN())</f>
        <v>35520.753239999998</v>
      </c>
      <c r="BM345" s="128">
        <f>BL345+INDEX(MO_LR_ChangeInNLR,0,COLUMN())</f>
        <v>36082.678187999998</v>
      </c>
      <c r="BN345" s="128">
        <f>BM345+INDEX(MO_LR_ChangeInNLR,0,COLUMN())</f>
        <v>36574.462340999999</v>
      </c>
      <c r="BO345" s="1000">
        <f>BN345</f>
        <v>36574.462340999999</v>
      </c>
      <c r="BP345" s="1000">
        <f>BO345+INDEX(MO_LR_ChangeInNLR,0,COLUMN())</f>
        <v>38652.459969999996</v>
      </c>
      <c r="BQ345" s="1000">
        <f>BP345+INDEX(MO_LR_ChangeInNLR,0,COLUMN())</f>
        <v>40786.370596999994</v>
      </c>
      <c r="BR345" s="1000">
        <f>BQ345+INDEX(MO_LR_ChangeInNLR,0,COLUMN())</f>
        <v>42983.982492999996</v>
      </c>
      <c r="BS345" s="57"/>
    </row>
    <row r="346" spans="1:71" s="51" customFormat="1" ht="15">
      <c r="A346" s="128"/>
      <c r="B346" s="391"/>
      <c r="C346" s="1000"/>
      <c r="D346" s="1000"/>
      <c r="E346" s="1000"/>
      <c r="F346" s="1000"/>
      <c r="G346" s="1000"/>
      <c r="H346" s="128"/>
      <c r="I346" s="128"/>
      <c r="J346" s="128"/>
      <c r="K346" s="128"/>
      <c r="L346" s="1000"/>
      <c r="M346" s="128"/>
      <c r="N346" s="128"/>
      <c r="O346" s="128"/>
      <c r="P346" s="128"/>
      <c r="Q346" s="1000"/>
      <c r="R346" s="128"/>
      <c r="S346" s="128"/>
      <c r="T346" s="128"/>
      <c r="U346" s="128"/>
      <c r="V346" s="1000"/>
      <c r="W346" s="128"/>
      <c r="X346" s="128"/>
      <c r="Y346" s="128"/>
      <c r="Z346" s="128"/>
      <c r="AA346" s="1000"/>
      <c r="AB346" s="128"/>
      <c r="AC346" s="128"/>
      <c r="AD346" s="128"/>
      <c r="AE346" s="128"/>
      <c r="AF346" s="1000"/>
      <c r="AG346" s="128"/>
      <c r="AH346" s="128"/>
      <c r="AI346" s="128"/>
      <c r="AJ346" s="128"/>
      <c r="AK346" s="1000"/>
      <c r="AL346" s="128"/>
      <c r="AM346" s="128"/>
      <c r="AN346" s="128"/>
      <c r="AO346" s="128"/>
      <c r="AP346" s="1000"/>
      <c r="AQ346" s="128"/>
      <c r="AR346" s="128"/>
      <c r="AS346" s="128"/>
      <c r="AT346" s="128"/>
      <c r="AU346" s="1000"/>
      <c r="AV346" s="128"/>
      <c r="AW346" s="128"/>
      <c r="AX346" s="128"/>
      <c r="AY346" s="128"/>
      <c r="AZ346" s="1000"/>
      <c r="BA346" s="128"/>
      <c r="BB346" s="128"/>
      <c r="BC346" s="128"/>
      <c r="BD346" s="128"/>
      <c r="BE346" s="1000"/>
      <c r="BF346" s="128"/>
      <c r="BG346" s="128"/>
      <c r="BH346" s="465"/>
      <c r="BI346" s="128"/>
      <c r="BJ346" s="1000"/>
      <c r="BK346" s="128"/>
      <c r="BL346" s="128"/>
      <c r="BM346" s="128"/>
      <c r="BN346" s="128"/>
      <c r="BO346" s="1000"/>
      <c r="BP346" s="1000"/>
      <c r="BQ346" s="1000"/>
      <c r="BR346" s="1000"/>
      <c r="BS346" s="57"/>
    </row>
    <row r="347" spans="1:71" s="300" customFormat="1" ht="15">
      <c r="A347" s="304" t="s">
        <v>21</v>
      </c>
      <c r="B347" s="233"/>
      <c r="C347" s="989"/>
      <c r="D347" s="993">
        <f t="shared" si="1153" ref="D347:AP347">INDEX(MO_UI_Loss,0,COLUMN())</f>
        <v>18949.195</v>
      </c>
      <c r="E347" s="993">
        <f t="shared" si="1153"/>
        <v>20151.992000000002</v>
      </c>
      <c r="F347" s="993">
        <f t="shared" si="1153"/>
        <v>18472.792999999998</v>
      </c>
      <c r="G347" s="993">
        <f t="shared" si="1153"/>
        <v>17927.992000000002</v>
      </c>
      <c r="H347" s="305">
        <f t="shared" si="1153"/>
        <v>4764.1360000000004</v>
      </c>
      <c r="I347" s="305">
        <f t="shared" si="1153"/>
        <v>5138.4519999999993</v>
      </c>
      <c r="J347" s="305">
        <f t="shared" si="1153"/>
        <v>4912.348</v>
      </c>
      <c r="K347" s="305">
        <f t="shared" si="1153"/>
        <v>4621.9680000000026</v>
      </c>
      <c r="L347" s="993">
        <f t="shared" si="1153"/>
        <v>19436.904000000002</v>
      </c>
      <c r="M347" s="305">
        <f t="shared" si="1153"/>
        <v>4991.2719999999999</v>
      </c>
      <c r="N347" s="305">
        <f t="shared" si="1153"/>
        <v>5588.26</v>
      </c>
      <c r="O347" s="305">
        <f t="shared" si="1153"/>
        <v>5250</v>
      </c>
      <c r="P347" s="305">
        <f t="shared" si="1153"/>
        <v>5045.751000000002</v>
      </c>
      <c r="Q347" s="993">
        <f t="shared" si="1153"/>
        <v>20875.283000000003</v>
      </c>
      <c r="R347" s="305">
        <f t="shared" si="1153"/>
        <v>5579.88</v>
      </c>
      <c r="S347" s="305">
        <f t="shared" si="1153"/>
        <v>5794.36</v>
      </c>
      <c r="T347" s="305">
        <f t="shared" si="1153"/>
        <v>5448.2669999999998</v>
      </c>
      <c r="U347" s="305">
        <f t="shared" si="1153"/>
        <v>5160.1169999999984</v>
      </c>
      <c r="V347" s="993">
        <f t="shared" si="1153"/>
        <v>21982.624</v>
      </c>
      <c r="W347" s="305">
        <f t="shared" si="1153"/>
        <v>5324.674</v>
      </c>
      <c r="X347" s="305">
        <f t="shared" si="1153"/>
        <v>5608.4259999999995</v>
      </c>
      <c r="Y347" s="305">
        <f t="shared" si="1153"/>
        <v>5441.4880000000003</v>
      </c>
      <c r="Z347" s="305">
        <f t="shared" si="1153"/>
        <v>5190.1510000000026</v>
      </c>
      <c r="AA347" s="993">
        <f t="shared" si="1153"/>
        <v>21564.739000000001</v>
      </c>
      <c r="AB347" s="305">
        <f t="shared" si="1153"/>
        <v>5038.9319999999998</v>
      </c>
      <c r="AC347" s="305">
        <f t="shared" si="1153"/>
        <v>5685.1659999999993</v>
      </c>
      <c r="AD347" s="305">
        <f t="shared" si="1153"/>
        <v>5712.64</v>
      </c>
      <c r="AE347" s="305">
        <f t="shared" si="1153"/>
        <v>5990.3620000000019</v>
      </c>
      <c r="AF347" s="993">
        <f t="shared" si="1153"/>
        <v>22427.100000000002</v>
      </c>
      <c r="AG347" s="305">
        <f t="shared" si="1153"/>
        <v>5727.2110000000002</v>
      </c>
      <c r="AH347" s="305">
        <f t="shared" si="1153"/>
        <v>6270.6819999999998</v>
      </c>
      <c r="AI347" s="305">
        <f t="shared" si="1153"/>
        <v>5964.3760000000002</v>
      </c>
      <c r="AJ347" s="305">
        <f t="shared" si="1153"/>
        <v>5661.7560000000012</v>
      </c>
      <c r="AK347" s="993">
        <f t="shared" si="1153"/>
        <v>23624.025000000001</v>
      </c>
      <c r="AL347" s="305">
        <f>INDEX(MO_UI_Loss,0,COLUMN())</f>
        <v>5250.6709999999994</v>
      </c>
      <c r="AM347" s="305">
        <f>INDEX(MO_UI_Loss,0,COLUMN())</f>
        <v>5142.54</v>
      </c>
      <c r="AN347" s="305">
        <f>INDEX(MO_UI_Loss,0,COLUMN())</f>
        <v>5971.7040000000006</v>
      </c>
      <c r="AO347" s="305">
        <f t="shared" si="1153"/>
        <v>5270.2120000000004</v>
      </c>
      <c r="AP347" s="993">
        <f t="shared" si="1153"/>
        <v>21635.127</v>
      </c>
      <c r="AQ347" s="305">
        <f t="shared" si="1154" ref="AQ347:AU347">INDEX(MO_UI_Loss,0,COLUMN())</f>
        <v>5938.60</v>
      </c>
      <c r="AR347" s="305">
        <f t="shared" si="1154"/>
        <v>7107.3899999999994</v>
      </c>
      <c r="AS347" s="305">
        <f t="shared" si="1154"/>
        <v>8138.6100000000006</v>
      </c>
      <c r="AT347" s="305">
        <f t="shared" si="1154"/>
        <v>7694.1939999999995</v>
      </c>
      <c r="AU347" s="993">
        <f t="shared" si="1154"/>
        <v>28878.793999999998</v>
      </c>
      <c r="AV347" s="305">
        <f t="shared" si="1155" ref="AV347:AZ347">INDEX(MO_UI_Loss,0,COLUMN())</f>
        <v>7696.0339999999997</v>
      </c>
      <c r="AW347" s="305">
        <f t="shared" si="1155"/>
        <v>9235.0259999999998</v>
      </c>
      <c r="AX347" s="305">
        <f t="shared" si="1155"/>
        <v>9938.16</v>
      </c>
      <c r="AY347" s="92">
        <f t="shared" si="1155"/>
        <v>9831.9770000000026</v>
      </c>
      <c r="AZ347" s="989">
        <f t="shared" si="1155"/>
        <v>36701.197</v>
      </c>
      <c r="BA347" s="305">
        <f t="shared" si="1156" ref="BA347:BI347">INDEX(MO_UI_Loss,0,COLUMN())</f>
        <v>10182.625</v>
      </c>
      <c r="BB347" s="305">
        <f t="shared" si="1156"/>
        <v>11564.369999999999</v>
      </c>
      <c r="BC347" s="305">
        <f t="shared" si="1156"/>
        <v>10082.049999999999</v>
      </c>
      <c r="BD347" s="92">
        <f t="shared" si="1156"/>
        <v>8599.6460000000006</v>
      </c>
      <c r="BE347" s="989">
        <f t="shared" si="1156"/>
        <v>40428.690999999999</v>
      </c>
      <c r="BF347" s="305">
        <f>INDEX(MO_UI_Loss,0,COLUMN())</f>
        <v>9343.60</v>
      </c>
      <c r="BG347" s="305">
        <f>INDEX(MO_UI_Loss,0,COLUMN())</f>
        <v>10646.522000000001</v>
      </c>
      <c r="BH347" s="743">
        <f>INDEX(MO_UI_Loss,0,COLUMN())</f>
        <v>10247.335999999999</v>
      </c>
      <c r="BI347" s="92">
        <f t="shared" si="1156"/>
        <v>9289.8632949999992</v>
      </c>
      <c r="BJ347" s="989">
        <f>SUM(BF347,BG347,BH347,BI347)</f>
        <v>39527.321295000002</v>
      </c>
      <c r="BK347" s="92">
        <f>INDEX(MO_UI_Loss,0,COLUMN())</f>
        <v>9711.4254519999995</v>
      </c>
      <c r="BL347" s="92">
        <f>INDEX(MO_UI_Loss,0,COLUMN())</f>
        <v>11333.776039000002</v>
      </c>
      <c r="BM347" s="92">
        <f>INDEX(MO_UI_Loss,0,COLUMN())</f>
        <v>11238.498964</v>
      </c>
      <c r="BN347" s="92">
        <f>INDEX(MO_UI_Loss,0,COLUMN())</f>
        <v>9835.6830631499997</v>
      </c>
      <c r="BO347" s="989">
        <f>SUM(BK347,BL347,BM347,BN347)</f>
        <v>42119.383518149996</v>
      </c>
      <c r="BP347" s="989">
        <f>INDEX(MO_UI_Loss,0,COLUMN())</f>
        <v>41559.9525861535</v>
      </c>
      <c r="BQ347" s="989">
        <f>INDEX(MO_UI_Loss,0,COLUMN())</f>
        <v>42678.212540699758</v>
      </c>
      <c r="BR347" s="989">
        <f>INDEX(MO_UI_Loss,0,COLUMN())</f>
        <v>43952.237916920749</v>
      </c>
      <c r="BS347" s="305"/>
    </row>
    <row r="348" spans="1:71" s="300" customFormat="1" ht="15">
      <c r="A348" s="110" t="s">
        <v>22</v>
      </c>
      <c r="B348" s="113"/>
      <c r="C348" s="995"/>
      <c r="D348" s="998">
        <f t="shared" si="1157" ref="D348:AK348">ROUND(INDEX(MO_LR_LossIncurred,0,COLUMN())-INDEX(MO_LR_ChangeInNLR,0,COLUMN()),6)</f>
        <v>18305.195</v>
      </c>
      <c r="E348" s="998">
        <f t="shared" si="1157"/>
        <v>18987.991999999998</v>
      </c>
      <c r="F348" s="998">
        <f t="shared" si="1157"/>
        <v>18586.793000000001</v>
      </c>
      <c r="G348" s="998">
        <f t="shared" si="1157"/>
        <v>18721.991999999998</v>
      </c>
      <c r="H348" s="58">
        <f t="shared" si="1157"/>
        <v>4478.1360000000004</v>
      </c>
      <c r="I348" s="58">
        <f t="shared" si="1157"/>
        <v>4541.4520000000002</v>
      </c>
      <c r="J348" s="58">
        <f t="shared" si="1157"/>
        <v>5140.348</v>
      </c>
      <c r="K348" s="58">
        <f t="shared" si="1157"/>
        <v>5085.9679999999998</v>
      </c>
      <c r="L348" s="998">
        <f t="shared" si="1157"/>
        <v>19245.903999999999</v>
      </c>
      <c r="M348" s="58">
        <f t="shared" si="1157"/>
        <v>4791.2719999999999</v>
      </c>
      <c r="N348" s="58">
        <f t="shared" si="1157"/>
        <v>5192.26</v>
      </c>
      <c r="O348" s="58">
        <f t="shared" si="1157"/>
        <v>5141</v>
      </c>
      <c r="P348" s="58">
        <f t="shared" si="1157"/>
        <v>4965.7510000000002</v>
      </c>
      <c r="Q348" s="998">
        <f t="shared" si="1157"/>
        <v>20090.282999999999</v>
      </c>
      <c r="R348" s="58">
        <f t="shared" si="1157"/>
        <v>4921.88</v>
      </c>
      <c r="S348" s="58">
        <f t="shared" si="1157"/>
        <v>5581.36</v>
      </c>
      <c r="T348" s="58">
        <f t="shared" si="1157"/>
        <v>5161.2669999999998</v>
      </c>
      <c r="U348" s="58">
        <f t="shared" si="1157"/>
        <v>5172.1170000000002</v>
      </c>
      <c r="V348" s="998">
        <f t="shared" si="1157"/>
        <v>20836.624</v>
      </c>
      <c r="W348" s="58">
        <f t="shared" si="1157"/>
        <v>4940.674</v>
      </c>
      <c r="X348" s="58">
        <f t="shared" si="1157"/>
        <v>5340.4260000000004</v>
      </c>
      <c r="Y348" s="58">
        <f t="shared" si="1157"/>
        <v>5204.4880000000003</v>
      </c>
      <c r="Z348" s="58">
        <f t="shared" si="1157"/>
        <v>4870.1509999999998</v>
      </c>
      <c r="AA348" s="998">
        <f t="shared" si="1157"/>
        <v>20355.739000000001</v>
      </c>
      <c r="AB348" s="58">
        <f t="shared" si="1157"/>
        <v>5459.9319999999998</v>
      </c>
      <c r="AC348" s="58">
        <f t="shared" si="1157"/>
        <v>5291.1660000000002</v>
      </c>
      <c r="AD348" s="58">
        <f t="shared" si="1157"/>
        <v>5479.64</v>
      </c>
      <c r="AE348" s="58">
        <f t="shared" si="1157"/>
        <v>6083.3620000000001</v>
      </c>
      <c r="AF348" s="998">
        <f t="shared" si="1157"/>
        <v>22314.099999999999</v>
      </c>
      <c r="AG348" s="58">
        <f t="shared" si="1157"/>
        <v>5423.2110000000002</v>
      </c>
      <c r="AH348" s="58">
        <f t="shared" si="1157"/>
        <v>5490.6819999999998</v>
      </c>
      <c r="AI348" s="58">
        <f t="shared" si="1157"/>
        <v>6023.3760000000002</v>
      </c>
      <c r="AJ348" s="58">
        <f t="shared" si="1157"/>
        <v>5951.7560000000003</v>
      </c>
      <c r="AK348" s="998">
        <f t="shared" si="1157"/>
        <v>22889.025000000001</v>
      </c>
      <c r="AL348" s="58">
        <f>ROUND(INDEX(MO_LR_LossIncurred,0,COLUMN())-INDEX(MO_LR_ChangeInNLR,0,COLUMN()),6)</f>
        <v>5873.6710000000003</v>
      </c>
      <c r="AM348" s="58">
        <f>ROUND(INDEX(MO_LR_LossIncurred,0,COLUMN())-INDEX(MO_LR_ChangeInNLR,0,COLUMN()),6)</f>
        <v>4713.54</v>
      </c>
      <c r="AN348" s="58">
        <f>ROUND(INDEX(MO_LR_LossIncurred,0,COLUMN())-INDEX(MO_LR_ChangeInNLR,0,COLUMN()),6)</f>
        <v>4929.7039999999997</v>
      </c>
      <c r="AO348" s="58">
        <f t="shared" si="1158" ref="AO348:AP348">ROUND(INDEX(MO_LR_LossIncurred,0,COLUMN())-INDEX(MO_LR_ChangeInNLR,0,COLUMN()),6)</f>
        <v>5761.2120000000004</v>
      </c>
      <c r="AP348" s="998">
        <f t="shared" si="1158"/>
        <v>21278.127</v>
      </c>
      <c r="AQ348" s="58">
        <f t="shared" si="1159" ref="AQ348:AV348">ROUND(INDEX(MO_LR_LossIncurred,0,COLUMN())-INDEX(MO_LR_ChangeInNLR,0,COLUMN()),6)</f>
        <v>14108.60</v>
      </c>
      <c r="AR348" s="58">
        <f t="shared" si="1159"/>
        <v>6716.3900000000003</v>
      </c>
      <c r="AS348" s="58">
        <f t="shared" si="1159"/>
        <v>7410.6099999999997</v>
      </c>
      <c r="AT348" s="58">
        <f t="shared" si="1159"/>
        <v>7492.1940000000004</v>
      </c>
      <c r="AU348" s="998">
        <f t="shared" si="1159"/>
        <v>35727.794000000002</v>
      </c>
      <c r="AV348" s="58">
        <f t="shared" si="1159"/>
        <v>7431.0339999999997</v>
      </c>
      <c r="AW348" s="58">
        <f t="shared" si="1160" ref="AW348:BB348">ROUND(INDEX(MO_LR_LossIncurred,0,COLUMN())-INDEX(MO_LR_ChangeInNLR,0,COLUMN()),6)</f>
        <v>7614.0259999999998</v>
      </c>
      <c r="AX348" s="58">
        <f t="shared" si="1160"/>
        <v>8289.16</v>
      </c>
      <c r="AY348" s="115">
        <f t="shared" si="1160"/>
        <v>8467.9770000000008</v>
      </c>
      <c r="AZ348" s="995">
        <f t="shared" si="1160"/>
        <v>31802.197</v>
      </c>
      <c r="BA348" s="58">
        <f t="shared" si="1160"/>
        <v>8936.625</v>
      </c>
      <c r="BB348" s="58">
        <f t="shared" si="1160"/>
        <v>9299.3700000000008</v>
      </c>
      <c r="BC348" s="58">
        <f t="shared" si="1161" ref="BC348:BH348">ROUND(INDEX(MO_LR_LossIncurred,0,COLUMN())-INDEX(MO_LR_ChangeInNLR,0,COLUMN()),6)</f>
        <v>9916.0499999999993</v>
      </c>
      <c r="BD348" s="115">
        <f t="shared" si="1161"/>
        <v>9088.6460000000006</v>
      </c>
      <c r="BE348" s="995">
        <f t="shared" si="1161"/>
        <v>37240.690999999999</v>
      </c>
      <c r="BF348" s="58">
        <f t="shared" si="1161"/>
        <v>8997.60</v>
      </c>
      <c r="BG348" s="58">
        <f t="shared" si="1161"/>
        <v>9221.5220000000008</v>
      </c>
      <c r="BH348" s="744">
        <f t="shared" si="1161"/>
        <v>10410.335999999999</v>
      </c>
      <c r="BI348" s="115">
        <f>ROUND(INDEX(MO_LR_LossIncurred,0,COLUMN())*INDEX(MO_LR_LossPayoutRatio,0,COLUMN()),6)</f>
        <v>8825.3701299999993</v>
      </c>
      <c r="BJ348" s="995">
        <f>SUM(BF348,BG348,BH348,BI348)</f>
        <v>37454.828130000002</v>
      </c>
      <c r="BK348" s="115">
        <f>ROUND(INDEX(MO_LR_LossIncurred,0,COLUMN())*INDEX(MO_LR_LossPayoutRatio,0,COLUMN()),6)</f>
        <v>9225.8541789999999</v>
      </c>
      <c r="BL348" s="115">
        <f>ROUND(INDEX(MO_LR_LossIncurred,0,COLUMN())*INDEX(MO_LR_LossPayoutRatio,0,COLUMN()),6)</f>
        <v>10767.087237</v>
      </c>
      <c r="BM348" s="115">
        <f>ROUND(INDEX(MO_LR_LossIncurred,0,COLUMN())*INDEX(MO_LR_LossPayoutRatio,0,COLUMN()),6)</f>
        <v>10676.574016</v>
      </c>
      <c r="BN348" s="115">
        <f>ROUND(INDEX(MO_LR_LossIncurred,0,COLUMN())*INDEX(MO_LR_LossPayoutRatio,0,COLUMN()),6)</f>
        <v>9343.8989099999999</v>
      </c>
      <c r="BO348" s="995">
        <f>SUM(BK348,BL348,BM348,BN348)</f>
        <v>40013.414342000004</v>
      </c>
      <c r="BP348" s="995">
        <f>ROUND(INDEX(MO_LR_LossIncurred,0,COLUMN())*INDEX(MO_LR_LossPayoutRatio,0,COLUMN()),6)</f>
        <v>39481.954957000002</v>
      </c>
      <c r="BQ348" s="995">
        <f>ROUND(INDEX(MO_LR_LossIncurred,0,COLUMN())*INDEX(MO_LR_LossPayoutRatio,0,COLUMN()),6)</f>
        <v>40544.301914000003</v>
      </c>
      <c r="BR348" s="995">
        <f>ROUND(INDEX(MO_LR_LossIncurred,0,COLUMN())*INDEX(MO_LR_LossPayoutRatio,0,COLUMN()),6)</f>
        <v>41754.626020999996</v>
      </c>
      <c r="BS348" s="305"/>
    </row>
    <row r="349" spans="1:71" s="51" customFormat="1" ht="15">
      <c r="A349" s="109" t="s">
        <v>23</v>
      </c>
      <c r="B349" s="391"/>
      <c r="C349" s="1000"/>
      <c r="D349" s="999">
        <f t="shared" si="1162" ref="D349:K349">D345-C345</f>
        <v>644</v>
      </c>
      <c r="E349" s="999">
        <f t="shared" si="1162"/>
        <v>1164</v>
      </c>
      <c r="F349" s="999">
        <f t="shared" si="1162"/>
        <v>-114</v>
      </c>
      <c r="G349" s="999">
        <f t="shared" si="1162"/>
        <v>-794</v>
      </c>
      <c r="H349" s="57">
        <f t="shared" si="1162"/>
        <v>286</v>
      </c>
      <c r="I349" s="57">
        <f t="shared" si="1162"/>
        <v>597</v>
      </c>
      <c r="J349" s="57">
        <f t="shared" si="1162"/>
        <v>-228</v>
      </c>
      <c r="K349" s="57">
        <f t="shared" si="1162"/>
        <v>-464</v>
      </c>
      <c r="L349" s="999">
        <f>SUM(H349,I349,J349,K349)</f>
        <v>191</v>
      </c>
      <c r="M349" s="57">
        <f>M345-L345</f>
        <v>200</v>
      </c>
      <c r="N349" s="57">
        <f>N345-M345</f>
        <v>396</v>
      </c>
      <c r="O349" s="57">
        <f>O345-N345</f>
        <v>109</v>
      </c>
      <c r="P349" s="57">
        <f>P345-O345</f>
        <v>80</v>
      </c>
      <c r="Q349" s="999">
        <f>SUM(M349,N349,O349,P349)</f>
        <v>785</v>
      </c>
      <c r="R349" s="57">
        <f>R345-Q345</f>
        <v>658</v>
      </c>
      <c r="S349" s="57">
        <f>S345-R345</f>
        <v>213</v>
      </c>
      <c r="T349" s="57">
        <f>T345-S345</f>
        <v>287</v>
      </c>
      <c r="U349" s="57">
        <f>U345-T345</f>
        <v>-12</v>
      </c>
      <c r="V349" s="999">
        <f>SUM(R349,S349,T349,U349)</f>
        <v>1146</v>
      </c>
      <c r="W349" s="57">
        <f>W345-V345</f>
        <v>384</v>
      </c>
      <c r="X349" s="57">
        <f>X345-W345</f>
        <v>268</v>
      </c>
      <c r="Y349" s="57">
        <f>Y345-X345</f>
        <v>237</v>
      </c>
      <c r="Z349" s="57">
        <f>Z345-Y345</f>
        <v>320</v>
      </c>
      <c r="AA349" s="999">
        <f>SUM(W349,X349,Y349,Z349)</f>
        <v>1209</v>
      </c>
      <c r="AB349" s="57">
        <f>AB345-AA345</f>
        <v>-421</v>
      </c>
      <c r="AC349" s="57">
        <f>AC345-AB345</f>
        <v>394</v>
      </c>
      <c r="AD349" s="57">
        <f>AD345-AC345</f>
        <v>233</v>
      </c>
      <c r="AE349" s="57">
        <f>AE345-AD345</f>
        <v>-93</v>
      </c>
      <c r="AF349" s="999">
        <f>SUM(AB349,AC349,AD349,AE349)</f>
        <v>113</v>
      </c>
      <c r="AG349" s="57">
        <f>AG345-AF345</f>
        <v>304</v>
      </c>
      <c r="AH349" s="57">
        <f>AH345-AG345</f>
        <v>780</v>
      </c>
      <c r="AI349" s="57">
        <f>AI345-AH345</f>
        <v>-59</v>
      </c>
      <c r="AJ349" s="57">
        <f>AJ345-AI345</f>
        <v>-290</v>
      </c>
      <c r="AK349" s="999">
        <f>SUM(AG349,AH349,AI349,AJ349)</f>
        <v>735</v>
      </c>
      <c r="AL349" s="57">
        <f>AL345-AK345</f>
        <v>-623</v>
      </c>
      <c r="AM349" s="57">
        <f>AM345-AL345</f>
        <v>429</v>
      </c>
      <c r="AN349" s="57">
        <f>AN345-AM345</f>
        <v>1042</v>
      </c>
      <c r="AO349" s="57">
        <f>AO345-AN345</f>
        <v>-491</v>
      </c>
      <c r="AP349" s="999">
        <f>SUM(AL349,AM349,AN349,AO349)</f>
        <v>357</v>
      </c>
      <c r="AQ349" s="57">
        <f>AQ345-AP345</f>
        <v>-8170</v>
      </c>
      <c r="AR349" s="57">
        <f>AR345-AQ345</f>
        <v>391</v>
      </c>
      <c r="AS349" s="57">
        <f>AS345-AR345</f>
        <v>728</v>
      </c>
      <c r="AT349" s="57">
        <f>AT345-AS345</f>
        <v>202</v>
      </c>
      <c r="AU349" s="999">
        <f>SUM(AQ349,AR349,AS349,AT349)</f>
        <v>-6849</v>
      </c>
      <c r="AV349" s="57">
        <f>AV345-AU345</f>
        <v>265</v>
      </c>
      <c r="AW349" s="57">
        <f>AW345-AV345</f>
        <v>1621</v>
      </c>
      <c r="AX349" s="57">
        <f>AX345-AW345</f>
        <v>1649</v>
      </c>
      <c r="AY349" s="57">
        <f>AY345-AX345</f>
        <v>1364</v>
      </c>
      <c r="AZ349" s="999">
        <f>SUM(AV349,AW349,AX349,AY349)</f>
        <v>4899</v>
      </c>
      <c r="BA349" s="57">
        <f>BA345-AZ345</f>
        <v>1246</v>
      </c>
      <c r="BB349" s="57">
        <f>BB345-BA345</f>
        <v>2265</v>
      </c>
      <c r="BC349" s="57">
        <f>BC345-BB345</f>
        <v>166</v>
      </c>
      <c r="BD349" s="57">
        <f>BD345-BC345</f>
        <v>-489</v>
      </c>
      <c r="BE349" s="999">
        <f>SUM(BA349,BB349,BC349,BD349)</f>
        <v>3188</v>
      </c>
      <c r="BF349" s="57">
        <f>BF345-BE345</f>
        <v>346</v>
      </c>
      <c r="BG349" s="57">
        <f>BG345-BF345</f>
        <v>1425</v>
      </c>
      <c r="BH349" s="745">
        <f>BH345-BG345</f>
        <v>-163</v>
      </c>
      <c r="BI349" s="128">
        <f>ROUND(INDEX(MO_LR_LossIncurred,0,COLUMN())-INDEX(MO_LR_LossPaid,0,COLUMN()),6)</f>
        <v>464.49316499999998</v>
      </c>
      <c r="BJ349" s="1000">
        <f t="shared" si="1163" ref="BJ349">ROUND(INDEX(MO_LR_LossIncurred,0,COLUMN())-INDEX(MO_LR_LossPaid,0,COLUMN()),6)</f>
        <v>2072.4931649999999</v>
      </c>
      <c r="BK349" s="128">
        <f t="shared" si="1164" ref="BK349:BR349">ROUND(INDEX(MO_LR_LossIncurred,0,COLUMN())-INDEX(MO_LR_LossPaid,0,COLUMN()),6)</f>
        <v>485.57127300000002</v>
      </c>
      <c r="BL349" s="128">
        <f t="shared" si="1164"/>
        <v>566.68880200000001</v>
      </c>
      <c r="BM349" s="128">
        <f t="shared" si="1164"/>
        <v>561.92494799999997</v>
      </c>
      <c r="BN349" s="128">
        <f t="shared" si="1164"/>
        <v>491.784153</v>
      </c>
      <c r="BO349" s="1000">
        <f t="shared" si="1164"/>
        <v>2105.9691760000001</v>
      </c>
      <c r="BP349" s="1000">
        <f t="shared" si="1164"/>
        <v>2077.997629</v>
      </c>
      <c r="BQ349" s="1000">
        <f t="shared" si="1164"/>
        <v>2133.9106270000002</v>
      </c>
      <c r="BR349" s="1000">
        <f t="shared" si="1164"/>
        <v>2197.6118959999999</v>
      </c>
      <c r="BS349" s="57"/>
    </row>
    <row r="350" spans="1:71" s="17" customFormat="1" ht="15">
      <c r="A350" s="492"/>
      <c r="B350" s="493"/>
      <c r="C350" s="1027"/>
      <c r="D350" s="1027"/>
      <c r="E350" s="1027"/>
      <c r="F350" s="1027"/>
      <c r="G350" s="1027"/>
      <c r="H350" s="843"/>
      <c r="I350" s="843"/>
      <c r="J350" s="843"/>
      <c r="K350" s="843"/>
      <c r="L350" s="1027"/>
      <c r="M350" s="843"/>
      <c r="N350" s="843"/>
      <c r="O350" s="843"/>
      <c r="P350" s="843"/>
      <c r="Q350" s="1027"/>
      <c r="R350" s="843"/>
      <c r="S350" s="843"/>
      <c r="T350" s="843"/>
      <c r="U350" s="843"/>
      <c r="V350" s="1027"/>
      <c r="W350" s="843"/>
      <c r="X350" s="843"/>
      <c r="Y350" s="843"/>
      <c r="Z350" s="843"/>
      <c r="AA350" s="1027"/>
      <c r="AB350" s="843"/>
      <c r="AC350" s="843"/>
      <c r="AD350" s="843"/>
      <c r="AE350" s="843"/>
      <c r="AF350" s="1027"/>
      <c r="AG350" s="843"/>
      <c r="AH350" s="843"/>
      <c r="AI350" s="843"/>
      <c r="AJ350" s="843"/>
      <c r="AK350" s="1027"/>
      <c r="AL350" s="843"/>
      <c r="AM350" s="843"/>
      <c r="AN350" s="843"/>
      <c r="AO350" s="843"/>
      <c r="AP350" s="1027"/>
      <c r="AQ350" s="843"/>
      <c r="AR350" s="843"/>
      <c r="AS350" s="843"/>
      <c r="AT350" s="843"/>
      <c r="AU350" s="1027"/>
      <c r="AV350" s="843"/>
      <c r="AW350" s="843"/>
      <c r="AX350" s="843"/>
      <c r="AY350" s="843"/>
      <c r="AZ350" s="1027"/>
      <c r="BA350" s="843"/>
      <c r="BB350" s="843"/>
      <c r="BC350" s="843"/>
      <c r="BD350" s="843"/>
      <c r="BE350" s="1027"/>
      <c r="BF350" s="843"/>
      <c r="BG350" s="843"/>
      <c r="BH350" s="844"/>
      <c r="BI350" s="843"/>
      <c r="BJ350" s="1027"/>
      <c r="BK350" s="843"/>
      <c r="BL350" s="843"/>
      <c r="BM350" s="843"/>
      <c r="BN350" s="843"/>
      <c r="BO350" s="1027"/>
      <c r="BP350" s="1027"/>
      <c r="BQ350" s="1027"/>
      <c r="BR350" s="1027"/>
      <c r="BS350" s="457"/>
    </row>
    <row r="351" spans="1:71" s="29" customFormat="1" ht="15">
      <c r="A351" s="42" t="s">
        <v>24</v>
      </c>
      <c r="B351" s="232"/>
      <c r="C351" s="1025"/>
      <c r="D351" s="1033">
        <f t="shared" si="1165" ref="D351:AK351">D348/D347</f>
        <v>0.96601438741856849</v>
      </c>
      <c r="E351" s="1033">
        <f t="shared" si="1165"/>
        <v>0.94223896079355318</v>
      </c>
      <c r="F351" s="1033">
        <f t="shared" si="1165"/>
        <v>1.0061712378848182</v>
      </c>
      <c r="G351" s="1033">
        <f t="shared" si="1165"/>
        <v>1.0442882839305148</v>
      </c>
      <c r="H351" s="649">
        <f t="shared" si="1165"/>
        <v>0.93996812853369427</v>
      </c>
      <c r="I351" s="649">
        <f t="shared" si="1165"/>
        <v>0.88381714960069702</v>
      </c>
      <c r="J351" s="649">
        <f t="shared" si="1165"/>
        <v>1.0464136498472829</v>
      </c>
      <c r="K351" s="649">
        <f t="shared" si="1165"/>
        <v>1.1003901368421412</v>
      </c>
      <c r="L351" s="1033">
        <f t="shared" si="1165"/>
        <v>0.99017333213149561</v>
      </c>
      <c r="M351" s="649">
        <f t="shared" si="1165"/>
        <v>0.95993005390209152</v>
      </c>
      <c r="N351" s="649">
        <f t="shared" si="1165"/>
        <v>0.92913715539362884</v>
      </c>
      <c r="O351" s="649">
        <f t="shared" si="1165"/>
        <v>0.97923809523809524</v>
      </c>
      <c r="P351" s="649">
        <f t="shared" si="1165"/>
        <v>0.98414507572807264</v>
      </c>
      <c r="Q351" s="1033">
        <f t="shared" si="1165"/>
        <v>0.96239571937779222</v>
      </c>
      <c r="R351" s="649">
        <f t="shared" si="1165"/>
        <v>0.88207631705341338</v>
      </c>
      <c r="S351" s="649">
        <f t="shared" si="1165"/>
        <v>0.96324011625097505</v>
      </c>
      <c r="T351" s="649">
        <f t="shared" si="1165"/>
        <v>0.94732269912616252</v>
      </c>
      <c r="U351" s="649">
        <f t="shared" si="1165"/>
        <v>1.0023255286653387</v>
      </c>
      <c r="V351" s="1033">
        <f t="shared" si="1165"/>
        <v>0.94786791604132425</v>
      </c>
      <c r="W351" s="649">
        <f t="shared" si="1165"/>
        <v>0.92788290888794323</v>
      </c>
      <c r="X351" s="649">
        <f t="shared" si="1165"/>
        <v>0.95221475686761325</v>
      </c>
      <c r="Y351" s="649">
        <f t="shared" si="1165"/>
        <v>0.95644573690137702</v>
      </c>
      <c r="Z351" s="649">
        <f t="shared" si="1165"/>
        <v>0.93834476106764475</v>
      </c>
      <c r="AA351" s="1033">
        <f t="shared" si="1165"/>
        <v>0.94393625631175038</v>
      </c>
      <c r="AB351" s="649">
        <f t="shared" si="1165"/>
        <v>1.0835494505581738</v>
      </c>
      <c r="AC351" s="649">
        <f t="shared" si="1165"/>
        <v>0.93069683453394336</v>
      </c>
      <c r="AD351" s="649">
        <f t="shared" si="1165"/>
        <v>0.95921325341698405</v>
      </c>
      <c r="AE351" s="649">
        <f t="shared" si="1165"/>
        <v>1.0155249382257696</v>
      </c>
      <c r="AF351" s="1033">
        <f t="shared" si="1165"/>
        <v>0.99496145288512539</v>
      </c>
      <c r="AG351" s="649">
        <f t="shared" si="1165"/>
        <v>0.94692006283686769</v>
      </c>
      <c r="AH351" s="649">
        <f t="shared" si="1165"/>
        <v>0.87561161608896765</v>
      </c>
      <c r="AI351" s="649">
        <f t="shared" si="1165"/>
        <v>1.0098920658254946</v>
      </c>
      <c r="AJ351" s="649">
        <f t="shared" si="1165"/>
        <v>1.0512208579811633</v>
      </c>
      <c r="AK351" s="1033">
        <f t="shared" si="1165"/>
        <v>0.96888760488528103</v>
      </c>
      <c r="AL351" s="649">
        <f>AL348/AL347</f>
        <v>1.118651501874713</v>
      </c>
      <c r="AM351" s="649">
        <f>AM348/AM347</f>
        <v>0.916578188988321</v>
      </c>
      <c r="AN351" s="649">
        <f>AN348/AN347</f>
        <v>0.82551044057106637</v>
      </c>
      <c r="AO351" s="649">
        <f t="shared" si="1166" ref="AO351:AP351">AO348/AO347</f>
        <v>1.0931651326360305</v>
      </c>
      <c r="AP351" s="1033">
        <f t="shared" si="1166"/>
        <v>0.9834990568809695</v>
      </c>
      <c r="AQ351" s="649">
        <f t="shared" si="1167" ref="AQ351:AV351">AQ348/AQ347</f>
        <v>2.3757451251136636</v>
      </c>
      <c r="AR351" s="649">
        <f t="shared" si="1167"/>
        <v>0.94498683764363578</v>
      </c>
      <c r="AS351" s="649">
        <f t="shared" si="1167"/>
        <v>0.91054983590563976</v>
      </c>
      <c r="AT351" s="649">
        <f t="shared" si="1167"/>
        <v>0.97374643789849868</v>
      </c>
      <c r="AU351" s="1033">
        <f t="shared" si="1167"/>
        <v>1.2371636433294273</v>
      </c>
      <c r="AV351" s="649">
        <f t="shared" si="1167"/>
        <v>0.965566680188783</v>
      </c>
      <c r="AW351" s="649">
        <f>AW348/AW347</f>
        <v>0.82447261112204773</v>
      </c>
      <c r="AX351" s="649">
        <f>AX348/AX347</f>
        <v>0.83407391307847734</v>
      </c>
      <c r="AY351" s="649">
        <f t="shared" si="1168" ref="AY351:AZ351">AY348/AY347</f>
        <v>0.86126900012072838</v>
      </c>
      <c r="AZ351" s="1033">
        <f t="shared" si="1168"/>
        <v>0.86651661524827106</v>
      </c>
      <c r="BA351" s="649">
        <f t="shared" si="1169" ref="BA351:BF351">BA348/BA347</f>
        <v>0.87763469635776625</v>
      </c>
      <c r="BB351" s="649">
        <f t="shared" si="1169"/>
        <v>0.80413978452782142</v>
      </c>
      <c r="BC351" s="649">
        <f t="shared" si="1169"/>
        <v>0.98353509454922361</v>
      </c>
      <c r="BD351" s="649">
        <f t="shared" si="1169"/>
        <v>1.0568628057480505</v>
      </c>
      <c r="BE351" s="1033">
        <f t="shared" si="1169"/>
        <v>0.92114510954608941</v>
      </c>
      <c r="BF351" s="649">
        <f t="shared" si="1169"/>
        <v>0.96296930519285928</v>
      </c>
      <c r="BG351" s="649">
        <f>BG348/BG347</f>
        <v>0.86615347246734664</v>
      </c>
      <c r="BH351" s="753">
        <f>BH348/BH347</f>
        <v>1.0159065731815566</v>
      </c>
      <c r="BI351" s="925">
        <v>0.95</v>
      </c>
      <c r="BJ351" s="1025">
        <f>BJ348/BJ347</f>
        <v>0.9475680846285387</v>
      </c>
      <c r="BK351" s="925">
        <v>0.95</v>
      </c>
      <c r="BL351" s="925">
        <v>0.95</v>
      </c>
      <c r="BM351" s="925">
        <v>0.95</v>
      </c>
      <c r="BN351" s="925">
        <v>0.95</v>
      </c>
      <c r="BO351" s="1025">
        <f>BO348/BO347</f>
        <v>0.94999999999424278</v>
      </c>
      <c r="BP351" s="1034">
        <v>0.95</v>
      </c>
      <c r="BQ351" s="1034">
        <v>0.95</v>
      </c>
      <c r="BR351" s="1034">
        <v>0.95</v>
      </c>
      <c r="BS351" s="649"/>
    </row>
    <row r="352" spans="1:71" s="22" customFormat="1" ht="15">
      <c r="A352" s="491"/>
      <c r="B352" s="485"/>
      <c r="C352" s="1010"/>
      <c r="D352" s="1010"/>
      <c r="E352" s="1010"/>
      <c r="F352" s="1010"/>
      <c r="G352" s="1010"/>
      <c r="H352" s="840"/>
      <c r="I352" s="840"/>
      <c r="J352" s="840"/>
      <c r="K352" s="840"/>
      <c r="L352" s="1010"/>
      <c r="M352" s="840"/>
      <c r="N352" s="840"/>
      <c r="O352" s="840"/>
      <c r="P352" s="840"/>
      <c r="Q352" s="1010"/>
      <c r="R352" s="840"/>
      <c r="S352" s="840"/>
      <c r="T352" s="840"/>
      <c r="U352" s="840"/>
      <c r="V352" s="1010"/>
      <c r="W352" s="840"/>
      <c r="X352" s="840"/>
      <c r="Y352" s="840"/>
      <c r="Z352" s="840"/>
      <c r="AA352" s="1010"/>
      <c r="AB352" s="840"/>
      <c r="AC352" s="840"/>
      <c r="AD352" s="840"/>
      <c r="AE352" s="840"/>
      <c r="AF352" s="1010"/>
      <c r="AG352" s="840"/>
      <c r="AH352" s="840"/>
      <c r="AI352" s="840"/>
      <c r="AJ352" s="840"/>
      <c r="AK352" s="1010"/>
      <c r="AL352" s="840"/>
      <c r="AM352" s="840"/>
      <c r="AN352" s="840"/>
      <c r="AO352" s="840"/>
      <c r="AP352" s="1010"/>
      <c r="AQ352" s="840"/>
      <c r="AR352" s="840"/>
      <c r="AS352" s="840"/>
      <c r="AT352" s="840"/>
      <c r="AU352" s="1010"/>
      <c r="AV352" s="840"/>
      <c r="AW352" s="840"/>
      <c r="AX352" s="840"/>
      <c r="AY352" s="840"/>
      <c r="AZ352" s="1010"/>
      <c r="BA352" s="840"/>
      <c r="BB352" s="840"/>
      <c r="BC352" s="840"/>
      <c r="BD352" s="840"/>
      <c r="BE352" s="1010"/>
      <c r="BF352" s="840"/>
      <c r="BG352" s="840"/>
      <c r="BH352" s="841"/>
      <c r="BI352" s="840"/>
      <c r="BJ352" s="1010"/>
      <c r="BK352" s="840"/>
      <c r="BL352" s="840"/>
      <c r="BM352" s="840"/>
      <c r="BN352" s="840"/>
      <c r="BO352" s="1010"/>
      <c r="BP352" s="1010"/>
      <c r="BQ352" s="1010"/>
      <c r="BR352" s="1010"/>
      <c r="BS352" s="822"/>
    </row>
    <row r="353" spans="1:71" s="17" customFormat="1" ht="15">
      <c r="A353" s="818" t="s">
        <v>601</v>
      </c>
      <c r="B353" s="818"/>
      <c r="C353" s="837"/>
      <c r="D353" s="837"/>
      <c r="E353" s="837"/>
      <c r="F353" s="837"/>
      <c r="G353" s="837"/>
      <c r="H353" s="837"/>
      <c r="I353" s="837"/>
      <c r="J353" s="837"/>
      <c r="K353" s="837"/>
      <c r="L353" s="837"/>
      <c r="M353" s="837"/>
      <c r="N353" s="837"/>
      <c r="O353" s="837"/>
      <c r="P353" s="837"/>
      <c r="Q353" s="837"/>
      <c r="R353" s="837"/>
      <c r="S353" s="837"/>
      <c r="T353" s="837"/>
      <c r="U353" s="837"/>
      <c r="V353" s="837"/>
      <c r="W353" s="837"/>
      <c r="X353" s="837"/>
      <c r="Y353" s="837"/>
      <c r="Z353" s="837"/>
      <c r="AA353" s="837"/>
      <c r="AB353" s="837"/>
      <c r="AC353" s="837"/>
      <c r="AD353" s="837"/>
      <c r="AE353" s="837"/>
      <c r="AF353" s="837"/>
      <c r="AG353" s="837"/>
      <c r="AH353" s="837"/>
      <c r="AI353" s="837"/>
      <c r="AJ353" s="837"/>
      <c r="AK353" s="837"/>
      <c r="AL353" s="837"/>
      <c r="AM353" s="837"/>
      <c r="AN353" s="837"/>
      <c r="AO353" s="837"/>
      <c r="AP353" s="837"/>
      <c r="AQ353" s="837"/>
      <c r="AR353" s="837"/>
      <c r="AS353" s="837"/>
      <c r="AT353" s="837"/>
      <c r="AU353" s="837"/>
      <c r="AV353" s="837"/>
      <c r="AW353" s="837"/>
      <c r="AX353" s="837"/>
      <c r="AY353" s="837"/>
      <c r="AZ353" s="837"/>
      <c r="BA353" s="837"/>
      <c r="BB353" s="837"/>
      <c r="BC353" s="837"/>
      <c r="BD353" s="837"/>
      <c r="BE353" s="837"/>
      <c r="BF353" s="837"/>
      <c r="BG353" s="837"/>
      <c r="BH353" s="838"/>
      <c r="BI353" s="837"/>
      <c r="BJ353" s="837"/>
      <c r="BK353" s="837"/>
      <c r="BL353" s="837"/>
      <c r="BM353" s="837"/>
      <c r="BN353" s="837"/>
      <c r="BO353" s="837"/>
      <c r="BP353" s="837"/>
      <c r="BQ353" s="837"/>
      <c r="BR353" s="837"/>
      <c r="BS353" s="457"/>
    </row>
    <row r="354" spans="1:71" s="300" customFormat="1" ht="15">
      <c r="A354" s="304" t="s">
        <v>604</v>
      </c>
      <c r="B354" s="233"/>
      <c r="C354" s="989"/>
      <c r="D354" s="989"/>
      <c r="E354" s="989"/>
      <c r="F354" s="989"/>
      <c r="G354" s="989"/>
      <c r="H354" s="92"/>
      <c r="I354" s="92"/>
      <c r="J354" s="92"/>
      <c r="K354" s="92"/>
      <c r="L354" s="989"/>
      <c r="M354" s="92"/>
      <c r="N354" s="92"/>
      <c r="O354" s="92"/>
      <c r="P354" s="92"/>
      <c r="Q354" s="989"/>
      <c r="R354" s="92"/>
      <c r="S354" s="92"/>
      <c r="T354" s="92"/>
      <c r="U354" s="92"/>
      <c r="V354" s="989"/>
      <c r="W354" s="92"/>
      <c r="X354" s="92"/>
      <c r="Y354" s="92"/>
      <c r="Z354" s="92"/>
      <c r="AA354" s="993">
        <f t="shared" si="1170" ref="AA354:BR354">AA219</f>
        <v>43183</v>
      </c>
      <c r="AB354" s="305">
        <f t="shared" si="1170"/>
        <v>42457</v>
      </c>
      <c r="AC354" s="305">
        <f t="shared" si="1170"/>
        <v>43241</v>
      </c>
      <c r="AD354" s="305">
        <f t="shared" si="1170"/>
        <v>43996</v>
      </c>
      <c r="AE354" s="305">
        <f t="shared" si="1170"/>
        <v>43634</v>
      </c>
      <c r="AF354" s="993">
        <f t="shared" si="1170"/>
        <v>43634</v>
      </c>
      <c r="AG354" s="305">
        <f t="shared" si="1170"/>
        <v>44810</v>
      </c>
      <c r="AH354" s="305">
        <f t="shared" si="1170"/>
        <v>46253</v>
      </c>
      <c r="AI354" s="305">
        <f t="shared" si="1170"/>
        <v>47761</v>
      </c>
      <c r="AJ354" s="305">
        <f t="shared" si="1170"/>
        <v>48414</v>
      </c>
      <c r="AK354" s="993">
        <f t="shared" si="1170"/>
        <v>48414</v>
      </c>
      <c r="AL354" s="305">
        <f t="shared" si="1170"/>
        <v>45188</v>
      </c>
      <c r="AM354" s="305">
        <f t="shared" si="1170"/>
        <v>48171</v>
      </c>
      <c r="AN354" s="305">
        <f t="shared" si="1170"/>
        <v>49843</v>
      </c>
      <c r="AO354" s="305">
        <f t="shared" si="1170"/>
        <v>50134</v>
      </c>
      <c r="AP354" s="993">
        <f t="shared" si="1170"/>
        <v>50134</v>
      </c>
      <c r="AQ354" s="305">
        <f t="shared" si="1170"/>
        <v>51785</v>
      </c>
      <c r="AR354" s="305">
        <f t="shared" si="1170"/>
        <v>53967</v>
      </c>
      <c r="AS354" s="305">
        <f t="shared" si="1170"/>
        <v>54295</v>
      </c>
      <c r="AT354" s="305">
        <f t="shared" si="1170"/>
        <v>57258</v>
      </c>
      <c r="AU354" s="993">
        <f t="shared" si="1170"/>
        <v>57258</v>
      </c>
      <c r="AV354" s="305">
        <f t="shared" si="1170"/>
        <v>52773</v>
      </c>
      <c r="AW354" s="305">
        <f t="shared" si="1170"/>
        <v>52095</v>
      </c>
      <c r="AX354" s="305">
        <f t="shared" si="1170"/>
        <v>52657</v>
      </c>
      <c r="AY354" s="305">
        <f t="shared" si="1170"/>
        <v>54011</v>
      </c>
      <c r="AZ354" s="993">
        <f t="shared" si="1170"/>
        <v>54011</v>
      </c>
      <c r="BA354" s="305">
        <f t="shared" si="1170"/>
        <v>55312</v>
      </c>
      <c r="BB354" s="305">
        <f t="shared" si="1170"/>
        <v>56426</v>
      </c>
      <c r="BC354" s="305">
        <f t="shared" si="1170"/>
        <v>56536</v>
      </c>
      <c r="BD354" s="305">
        <f t="shared" si="1170"/>
        <v>59540</v>
      </c>
      <c r="BE354" s="993">
        <f t="shared" si="1170"/>
        <v>59540</v>
      </c>
      <c r="BF354" s="305">
        <f t="shared" si="1170"/>
        <v>60987</v>
      </c>
      <c r="BG354" s="305">
        <f>BG219</f>
        <v>63703</v>
      </c>
      <c r="BH354" s="743">
        <f>BH219</f>
        <v>68259</v>
      </c>
      <c r="BI354" s="92">
        <f t="shared" si="1170"/>
        <v>57158.40</v>
      </c>
      <c r="BJ354" s="989">
        <f t="shared" si="1170"/>
        <v>57158.40</v>
      </c>
      <c r="BK354" s="92">
        <f t="shared" si="1170"/>
        <v>61596.870000000003</v>
      </c>
      <c r="BL354" s="92">
        <f t="shared" si="1170"/>
        <v>60517.849999999999</v>
      </c>
      <c r="BM354" s="92">
        <f t="shared" si="1170"/>
        <v>66211.229999999996</v>
      </c>
      <c r="BN354" s="92">
        <f t="shared" si="1170"/>
        <v>54872.063999999998</v>
      </c>
      <c r="BO354" s="989">
        <f t="shared" si="1170"/>
        <v>54872.063999999998</v>
      </c>
      <c r="BP354" s="989">
        <f t="shared" si="1170"/>
        <v>55420.784639999998</v>
      </c>
      <c r="BQ354" s="989">
        <f t="shared" si="1170"/>
        <v>55974.992486399999</v>
      </c>
      <c r="BR354" s="989">
        <f t="shared" si="1170"/>
        <v>56534.742411264</v>
      </c>
      <c r="BS354" s="305"/>
    </row>
    <row r="355" spans="1:71" s="300" customFormat="1" ht="15">
      <c r="A355" s="304" t="s">
        <v>706</v>
      </c>
      <c r="B355" s="233"/>
      <c r="C355" s="989"/>
      <c r="D355" s="989"/>
      <c r="E355" s="989"/>
      <c r="F355" s="989"/>
      <c r="G355" s="989"/>
      <c r="H355" s="92"/>
      <c r="I355" s="92"/>
      <c r="J355" s="92"/>
      <c r="K355" s="92"/>
      <c r="L355" s="989"/>
      <c r="M355" s="92"/>
      <c r="N355" s="92"/>
      <c r="O355" s="92"/>
      <c r="P355" s="92"/>
      <c r="Q355" s="989"/>
      <c r="R355" s="92"/>
      <c r="S355" s="92"/>
      <c r="T355" s="92"/>
      <c r="U355" s="92"/>
      <c r="V355" s="989"/>
      <c r="W355" s="92"/>
      <c r="X355" s="92"/>
      <c r="Y355" s="92"/>
      <c r="Z355" s="92"/>
      <c r="AA355" s="993">
        <f t="shared" si="1171" ref="AA355:BR355">AA263</f>
        <v>954</v>
      </c>
      <c r="AB355" s="305">
        <f t="shared" si="1171"/>
        <v>966</v>
      </c>
      <c r="AC355" s="305">
        <f t="shared" si="1171"/>
        <v>971</v>
      </c>
      <c r="AD355" s="305">
        <f t="shared" si="1171"/>
        <v>1126</v>
      </c>
      <c r="AE355" s="305">
        <f t="shared" si="1171"/>
        <v>1203</v>
      </c>
      <c r="AF355" s="993">
        <f t="shared" si="1171"/>
        <v>1203</v>
      </c>
      <c r="AG355" s="305">
        <f t="shared" si="1171"/>
        <v>1318</v>
      </c>
      <c r="AH355" s="305">
        <f t="shared" si="1171"/>
        <v>1408</v>
      </c>
      <c r="AI355" s="305">
        <f t="shared" si="1171"/>
        <v>1549</v>
      </c>
      <c r="AJ355" s="305">
        <f t="shared" si="1171"/>
        <v>1544</v>
      </c>
      <c r="AK355" s="993">
        <f t="shared" si="1171"/>
        <v>1544</v>
      </c>
      <c r="AL355" s="305">
        <f t="shared" si="1171"/>
        <v>1604</v>
      </c>
      <c r="AM355" s="305">
        <f t="shared" si="1171"/>
        <v>1770</v>
      </c>
      <c r="AN355" s="305">
        <f t="shared" si="1171"/>
        <v>1950</v>
      </c>
      <c r="AO355" s="305">
        <f t="shared" si="1171"/>
        <v>1822</v>
      </c>
      <c r="AP355" s="993">
        <f t="shared" si="1171"/>
        <v>1822</v>
      </c>
      <c r="AQ355" s="305">
        <f t="shared" si="1171"/>
        <v>1858</v>
      </c>
      <c r="AR355" s="305">
        <f t="shared" si="1171"/>
        <v>2058</v>
      </c>
      <c r="AS355" s="305">
        <f t="shared" si="1171"/>
        <v>1927</v>
      </c>
      <c r="AT355" s="305">
        <f t="shared" si="1171"/>
        <v>1890</v>
      </c>
      <c r="AU355" s="993">
        <f t="shared" si="1171"/>
        <v>1890</v>
      </c>
      <c r="AV355" s="305">
        <f t="shared" si="1171"/>
        <v>1879</v>
      </c>
      <c r="AW355" s="305">
        <f t="shared" si="1171"/>
        <v>1865</v>
      </c>
      <c r="AX355" s="305">
        <f t="shared" si="1171"/>
        <v>1963</v>
      </c>
      <c r="AY355" s="305">
        <f t="shared" si="1171"/>
        <v>1917</v>
      </c>
      <c r="AZ355" s="993">
        <f t="shared" si="1171"/>
        <v>1917</v>
      </c>
      <c r="BA355" s="305">
        <f t="shared" si="1171"/>
        <v>2085</v>
      </c>
      <c r="BB355" s="305">
        <f t="shared" si="1171"/>
        <v>2128</v>
      </c>
      <c r="BC355" s="305">
        <f t="shared" si="1171"/>
        <v>2109</v>
      </c>
      <c r="BD355" s="305">
        <f t="shared" si="1171"/>
        <v>2180</v>
      </c>
      <c r="BE355" s="993">
        <f t="shared" si="1171"/>
        <v>2180</v>
      </c>
      <c r="BF355" s="305">
        <f t="shared" si="1171"/>
        <v>2226</v>
      </c>
      <c r="BG355" s="305">
        <f>BG263</f>
        <v>2305</v>
      </c>
      <c r="BH355" s="743">
        <f>BH263</f>
        <v>2467</v>
      </c>
      <c r="BI355" s="92">
        <f t="shared" si="1171"/>
        <v>2572.40</v>
      </c>
      <c r="BJ355" s="989">
        <f t="shared" si="1171"/>
        <v>2572.40</v>
      </c>
      <c r="BK355" s="92">
        <f t="shared" si="1171"/>
        <v>2626.68</v>
      </c>
      <c r="BL355" s="92">
        <f t="shared" si="1171"/>
        <v>2719.8999999999996</v>
      </c>
      <c r="BM355" s="92">
        <f t="shared" si="1171"/>
        <v>2911.06</v>
      </c>
      <c r="BN355" s="92">
        <f t="shared" si="1171"/>
        <v>3035.4319999999998</v>
      </c>
      <c r="BO355" s="989">
        <f t="shared" si="1171"/>
        <v>3035.4319999999998</v>
      </c>
      <c r="BP355" s="989">
        <f t="shared" si="1171"/>
        <v>3399.6838400000001</v>
      </c>
      <c r="BQ355" s="989">
        <f t="shared" si="1171"/>
        <v>3807.6459008000006</v>
      </c>
      <c r="BR355" s="989">
        <f t="shared" si="1171"/>
        <v>4264.5634088960014</v>
      </c>
      <c r="BS355" s="305"/>
    </row>
    <row r="356" spans="1:71" s="300" customFormat="1" ht="15" hidden="1" outlineLevel="1">
      <c r="A356" s="304" t="s">
        <v>590</v>
      </c>
      <c r="B356" s="233"/>
      <c r="C356" s="989"/>
      <c r="D356" s="989"/>
      <c r="E356" s="989"/>
      <c r="F356" s="989"/>
      <c r="G356" s="989"/>
      <c r="H356" s="92"/>
      <c r="I356" s="92"/>
      <c r="J356" s="92"/>
      <c r="K356" s="92"/>
      <c r="L356" s="989"/>
      <c r="M356" s="92"/>
      <c r="N356" s="92"/>
      <c r="O356" s="92"/>
      <c r="P356" s="92"/>
      <c r="Q356" s="989"/>
      <c r="R356" s="92"/>
      <c r="S356" s="92"/>
      <c r="T356" s="92"/>
      <c r="U356" s="92"/>
      <c r="V356" s="989"/>
      <c r="W356" s="92"/>
      <c r="X356" s="92"/>
      <c r="Y356" s="92"/>
      <c r="Z356" s="92"/>
      <c r="AA356" s="993">
        <f t="shared" si="1172" ref="AA356:AQ356">AA567</f>
        <v>11210</v>
      </c>
      <c r="AB356" s="305">
        <f t="shared" si="1172"/>
        <v>11006</v>
      </c>
      <c r="AC356" s="305">
        <f t="shared" si="1172"/>
        <v>11129</v>
      </c>
      <c r="AD356" s="305">
        <f t="shared" si="1172"/>
        <v>11280</v>
      </c>
      <c r="AE356" s="305">
        <f t="shared" si="1172"/>
        <v>10809</v>
      </c>
      <c r="AF356" s="993">
        <f t="shared" si="1172"/>
        <v>10809</v>
      </c>
      <c r="AG356" s="305">
        <f t="shared" si="1172"/>
        <v>11216</v>
      </c>
      <c r="AH356" s="305">
        <f t="shared" si="1172"/>
        <v>11369</v>
      </c>
      <c r="AI356" s="305">
        <f t="shared" si="1172"/>
        <v>11701</v>
      </c>
      <c r="AJ356" s="305">
        <f t="shared" si="1172"/>
        <v>11914</v>
      </c>
      <c r="AK356" s="993">
        <f t="shared" si="1172"/>
        <v>11914</v>
      </c>
      <c r="AL356" s="305">
        <f t="shared" si="1172"/>
        <v>11567</v>
      </c>
      <c r="AM356" s="305">
        <f t="shared" si="1172"/>
        <v>12072</v>
      </c>
      <c r="AN356" s="305">
        <f t="shared" si="1172"/>
        <v>12340</v>
      </c>
      <c r="AO356" s="305">
        <f t="shared" si="1172"/>
        <v>12406</v>
      </c>
      <c r="AP356" s="993">
        <f t="shared" si="1172"/>
        <v>12406</v>
      </c>
      <c r="AQ356" s="305">
        <f t="shared" si="1172"/>
        <v>0</v>
      </c>
      <c r="AR356" s="305">
        <f t="shared" si="1173" ref="AR356:AW356">AR567</f>
        <v>0</v>
      </c>
      <c r="AS356" s="305">
        <f t="shared" si="1173"/>
        <v>0</v>
      </c>
      <c r="AT356" s="305">
        <f t="shared" si="1173"/>
        <v>0</v>
      </c>
      <c r="AU356" s="993">
        <f t="shared" si="1173"/>
        <v>0</v>
      </c>
      <c r="AV356" s="305">
        <f t="shared" si="1173"/>
        <v>0</v>
      </c>
      <c r="AW356" s="305">
        <f t="shared" si="1173"/>
        <v>0</v>
      </c>
      <c r="AX356" s="305">
        <f t="shared" si="1174" ref="AX356:BJ356">AX567</f>
        <v>0</v>
      </c>
      <c r="AY356" s="305">
        <f t="shared" si="1174"/>
        <v>0</v>
      </c>
      <c r="AZ356" s="993">
        <f t="shared" si="1174"/>
        <v>0</v>
      </c>
      <c r="BA356" s="305">
        <f t="shared" si="1175" ref="BA356:BI356">BA567</f>
        <v>0</v>
      </c>
      <c r="BB356" s="305">
        <f t="shared" si="1175"/>
        <v>0</v>
      </c>
      <c r="BC356" s="305">
        <f t="shared" si="1175"/>
        <v>0</v>
      </c>
      <c r="BD356" s="305">
        <f t="shared" si="1175"/>
        <v>0</v>
      </c>
      <c r="BE356" s="993">
        <f t="shared" si="1175"/>
        <v>0</v>
      </c>
      <c r="BF356" s="305">
        <f>BF567</f>
        <v>0</v>
      </c>
      <c r="BG356" s="305">
        <f>BG567</f>
        <v>0</v>
      </c>
      <c r="BH356" s="743">
        <f>BH567</f>
        <v>0</v>
      </c>
      <c r="BI356" s="92">
        <f t="shared" si="1175"/>
        <v>0</v>
      </c>
      <c r="BJ356" s="989">
        <f t="shared" si="1174"/>
        <v>0</v>
      </c>
      <c r="BK356" s="92">
        <f t="shared" si="1176" ref="BK356:BR356">BK567</f>
        <v>0</v>
      </c>
      <c r="BL356" s="92">
        <f t="shared" si="1176"/>
        <v>0</v>
      </c>
      <c r="BM356" s="92">
        <f t="shared" si="1176"/>
        <v>0</v>
      </c>
      <c r="BN356" s="92">
        <f t="shared" si="1176"/>
        <v>0</v>
      </c>
      <c r="BO356" s="989">
        <f t="shared" si="1176"/>
        <v>0</v>
      </c>
      <c r="BP356" s="989">
        <f t="shared" si="1176"/>
        <v>0</v>
      </c>
      <c r="BQ356" s="989">
        <f t="shared" si="1176"/>
        <v>0</v>
      </c>
      <c r="BR356" s="989">
        <f t="shared" si="1176"/>
        <v>0</v>
      </c>
      <c r="BS356" s="305"/>
    </row>
    <row r="357" spans="1:71" s="300" customFormat="1" ht="15" collapsed="1">
      <c r="A357" s="304" t="s">
        <v>744</v>
      </c>
      <c r="B357" s="233"/>
      <c r="C357" s="989"/>
      <c r="D357" s="989"/>
      <c r="E357" s="989"/>
      <c r="F357" s="989"/>
      <c r="G357" s="989"/>
      <c r="H357" s="92"/>
      <c r="I357" s="92"/>
      <c r="J357" s="92"/>
      <c r="K357" s="92"/>
      <c r="L357" s="989"/>
      <c r="M357" s="92"/>
      <c r="N357" s="92"/>
      <c r="O357" s="92"/>
      <c r="P357" s="92"/>
      <c r="Q357" s="989"/>
      <c r="R357" s="92"/>
      <c r="S357" s="92"/>
      <c r="T357" s="92"/>
      <c r="U357" s="92"/>
      <c r="V357" s="989"/>
      <c r="W357" s="92"/>
      <c r="X357" s="92"/>
      <c r="Y357" s="92"/>
      <c r="Z357" s="92"/>
      <c r="AA357" s="993">
        <f t="shared" si="1177" ref="AA357:BR357">AA301</f>
        <v>1776</v>
      </c>
      <c r="AB357" s="305">
        <f t="shared" si="1177"/>
        <v>1785</v>
      </c>
      <c r="AC357" s="305">
        <f t="shared" si="1177"/>
        <v>1792</v>
      </c>
      <c r="AD357" s="305">
        <f t="shared" si="1177"/>
        <v>1831</v>
      </c>
      <c r="AE357" s="305">
        <f t="shared" si="1177"/>
        <v>1809</v>
      </c>
      <c r="AF357" s="993">
        <f t="shared" si="1177"/>
        <v>1809</v>
      </c>
      <c r="AG357" s="305">
        <f t="shared" si="1177"/>
        <v>1900</v>
      </c>
      <c r="AH357" s="305">
        <f t="shared" si="1177"/>
        <v>1949</v>
      </c>
      <c r="AI357" s="305">
        <f t="shared" si="1177"/>
        <v>2011</v>
      </c>
      <c r="AJ357" s="305">
        <f t="shared" si="1177"/>
        <v>1941</v>
      </c>
      <c r="AK357" s="993">
        <f t="shared" si="1177"/>
        <v>1941</v>
      </c>
      <c r="AL357" s="305">
        <f t="shared" si="1177"/>
        <v>1867</v>
      </c>
      <c r="AM357" s="305">
        <f t="shared" si="1177"/>
        <v>2029</v>
      </c>
      <c r="AN357" s="305">
        <f t="shared" si="1177"/>
        <v>2040</v>
      </c>
      <c r="AO357" s="305">
        <f t="shared" si="1177"/>
        <v>2012</v>
      </c>
      <c r="AP357" s="993">
        <f t="shared" si="1177"/>
        <v>2012</v>
      </c>
      <c r="AQ357" s="305">
        <f t="shared" si="1177"/>
        <v>2156</v>
      </c>
      <c r="AR357" s="305">
        <f t="shared" si="1177"/>
        <v>2235</v>
      </c>
      <c r="AS357" s="305">
        <f t="shared" si="1177"/>
        <v>2175</v>
      </c>
      <c r="AT357" s="305">
        <f t="shared" si="1177"/>
        <v>2191</v>
      </c>
      <c r="AU357" s="993">
        <f t="shared" si="1177"/>
        <v>2191</v>
      </c>
      <c r="AV357" s="305">
        <f t="shared" si="1177"/>
        <v>2096</v>
      </c>
      <c r="AW357" s="305">
        <f t="shared" si="1177"/>
        <v>2012</v>
      </c>
      <c r="AX357" s="305">
        <f t="shared" si="1177"/>
        <v>1902</v>
      </c>
      <c r="AY357" s="305">
        <f t="shared" si="1177"/>
        <v>1872</v>
      </c>
      <c r="AZ357" s="993">
        <f t="shared" si="1177"/>
        <v>1872</v>
      </c>
      <c r="BA357" s="305">
        <f t="shared" si="1177"/>
        <v>1941</v>
      </c>
      <c r="BB357" s="305">
        <f t="shared" si="1177"/>
        <v>1978</v>
      </c>
      <c r="BC357" s="305">
        <f t="shared" si="1177"/>
        <v>1918</v>
      </c>
      <c r="BD357" s="305">
        <f t="shared" si="1177"/>
        <v>2182</v>
      </c>
      <c r="BE357" s="993">
        <f t="shared" si="1177"/>
        <v>2182</v>
      </c>
      <c r="BF357" s="305">
        <f t="shared" si="1177"/>
        <v>2171</v>
      </c>
      <c r="BG357" s="305">
        <f>BG301</f>
        <v>2241</v>
      </c>
      <c r="BH357" s="743">
        <f>BH301</f>
        <v>496</v>
      </c>
      <c r="BI357" s="92">
        <f t="shared" si="1177"/>
        <v>2225.64</v>
      </c>
      <c r="BJ357" s="989">
        <f t="shared" si="1177"/>
        <v>2225.64</v>
      </c>
      <c r="BK357" s="92">
        <f t="shared" si="1177"/>
        <v>2214.42</v>
      </c>
      <c r="BL357" s="92">
        <f t="shared" si="1177"/>
        <v>2285.8200000000002</v>
      </c>
      <c r="BM357" s="92">
        <f t="shared" si="1177"/>
        <v>505.92</v>
      </c>
      <c r="BN357" s="92">
        <f t="shared" si="1177"/>
        <v>2270.1527999999998</v>
      </c>
      <c r="BO357" s="989">
        <f t="shared" si="1177"/>
        <v>2270.1527999999998</v>
      </c>
      <c r="BP357" s="989">
        <f t="shared" si="1177"/>
        <v>2315.5558559999999</v>
      </c>
      <c r="BQ357" s="989">
        <f t="shared" si="1177"/>
        <v>2361.8669731199998</v>
      </c>
      <c r="BR357" s="989">
        <f t="shared" si="1177"/>
        <v>2409.1043125823999</v>
      </c>
      <c r="BS357" s="305"/>
    </row>
    <row r="358" spans="1:71" s="300" customFormat="1" ht="15" hidden="1" outlineLevel="1">
      <c r="A358" s="304" t="s">
        <v>584</v>
      </c>
      <c r="B358" s="233"/>
      <c r="C358" s="989"/>
      <c r="D358" s="989"/>
      <c r="E358" s="989"/>
      <c r="F358" s="989"/>
      <c r="G358" s="989"/>
      <c r="H358" s="92"/>
      <c r="I358" s="92"/>
      <c r="J358" s="92"/>
      <c r="K358" s="92"/>
      <c r="L358" s="989"/>
      <c r="M358" s="92"/>
      <c r="N358" s="92"/>
      <c r="O358" s="92"/>
      <c r="P358" s="92"/>
      <c r="Q358" s="989"/>
      <c r="R358" s="92"/>
      <c r="S358" s="92"/>
      <c r="T358" s="92"/>
      <c r="U358" s="92"/>
      <c r="V358" s="989"/>
      <c r="W358" s="92"/>
      <c r="X358" s="92"/>
      <c r="Y358" s="92"/>
      <c r="Z358" s="92"/>
      <c r="AA358" s="993">
        <f t="shared" si="1178" ref="AA358:AQ358">AA602</f>
        <v>23722</v>
      </c>
      <c r="AB358" s="305">
        <f t="shared" si="1178"/>
        <v>23230</v>
      </c>
      <c r="AC358" s="305">
        <f t="shared" si="1178"/>
        <v>22812</v>
      </c>
      <c r="AD358" s="305">
        <f t="shared" si="1178"/>
        <v>22537</v>
      </c>
      <c r="AE358" s="305">
        <f t="shared" si="1178"/>
        <v>22336</v>
      </c>
      <c r="AF358" s="993">
        <f t="shared" si="1178"/>
        <v>22336</v>
      </c>
      <c r="AG358" s="305">
        <f t="shared" si="1178"/>
        <v>22523</v>
      </c>
      <c r="AH358" s="305">
        <f t="shared" si="1178"/>
        <v>22765</v>
      </c>
      <c r="AI358" s="305">
        <f t="shared" si="1178"/>
        <v>22718</v>
      </c>
      <c r="AJ358" s="305">
        <f t="shared" si="1178"/>
        <v>22221</v>
      </c>
      <c r="AK358" s="993">
        <f t="shared" si="1178"/>
        <v>22221</v>
      </c>
      <c r="AL358" s="305">
        <f t="shared" si="1178"/>
        <v>21156</v>
      </c>
      <c r="AM358" s="305">
        <f t="shared" si="1178"/>
        <v>21906</v>
      </c>
      <c r="AN358" s="305">
        <f t="shared" si="1178"/>
        <v>22120</v>
      </c>
      <c r="AO358" s="305">
        <f t="shared" si="1178"/>
        <v>22291</v>
      </c>
      <c r="AP358" s="993">
        <f t="shared" si="1178"/>
        <v>22291</v>
      </c>
      <c r="AQ358" s="305">
        <f t="shared" si="1178"/>
        <v>0</v>
      </c>
      <c r="AR358" s="305">
        <f t="shared" si="1179" ref="AR358:AW358">AR602</f>
        <v>0</v>
      </c>
      <c r="AS358" s="305">
        <f t="shared" si="1179"/>
        <v>0</v>
      </c>
      <c r="AT358" s="305">
        <f t="shared" si="1179"/>
        <v>0</v>
      </c>
      <c r="AU358" s="993">
        <f t="shared" si="1179"/>
        <v>0</v>
      </c>
      <c r="AV358" s="305">
        <f t="shared" si="1179"/>
        <v>0</v>
      </c>
      <c r="AW358" s="305">
        <f t="shared" si="1179"/>
        <v>0</v>
      </c>
      <c r="AX358" s="305">
        <f t="shared" si="1180" ref="AX358:BJ358">AX602</f>
        <v>0</v>
      </c>
      <c r="AY358" s="305">
        <f t="shared" si="1180"/>
        <v>0</v>
      </c>
      <c r="AZ358" s="993">
        <f t="shared" si="1180"/>
        <v>0</v>
      </c>
      <c r="BA358" s="305">
        <f t="shared" si="1181" ref="BA358:BI358">BA602</f>
        <v>0</v>
      </c>
      <c r="BB358" s="305">
        <f t="shared" si="1181"/>
        <v>0</v>
      </c>
      <c r="BC358" s="305">
        <f t="shared" si="1181"/>
        <v>0</v>
      </c>
      <c r="BD358" s="305">
        <f t="shared" si="1181"/>
        <v>0</v>
      </c>
      <c r="BE358" s="993">
        <f t="shared" si="1181"/>
        <v>0</v>
      </c>
      <c r="BF358" s="305">
        <f>BF602</f>
        <v>0</v>
      </c>
      <c r="BG358" s="305">
        <f>BG602</f>
        <v>0</v>
      </c>
      <c r="BH358" s="743">
        <f>BH602</f>
        <v>0</v>
      </c>
      <c r="BI358" s="92">
        <f t="shared" si="1181"/>
        <v>0</v>
      </c>
      <c r="BJ358" s="989">
        <f t="shared" si="1180"/>
        <v>0</v>
      </c>
      <c r="BK358" s="92">
        <f t="shared" si="1182" ref="BK358:BR358">BK602</f>
        <v>0</v>
      </c>
      <c r="BL358" s="92">
        <f t="shared" si="1182"/>
        <v>0</v>
      </c>
      <c r="BM358" s="92">
        <f t="shared" si="1182"/>
        <v>0</v>
      </c>
      <c r="BN358" s="92">
        <f t="shared" si="1182"/>
        <v>0</v>
      </c>
      <c r="BO358" s="989">
        <f t="shared" si="1182"/>
        <v>0</v>
      </c>
      <c r="BP358" s="989">
        <f t="shared" si="1182"/>
        <v>0</v>
      </c>
      <c r="BQ358" s="989">
        <f t="shared" si="1182"/>
        <v>0</v>
      </c>
      <c r="BR358" s="989">
        <f t="shared" si="1182"/>
        <v>0</v>
      </c>
      <c r="BS358" s="305"/>
    </row>
    <row r="359" spans="1:71" s="300" customFormat="1" ht="15" collapsed="1">
      <c r="A359" s="110" t="s">
        <v>608</v>
      </c>
      <c r="B359" s="113"/>
      <c r="C359" s="995"/>
      <c r="D359" s="995"/>
      <c r="E359" s="995"/>
      <c r="F359" s="995"/>
      <c r="G359" s="995"/>
      <c r="H359" s="115"/>
      <c r="I359" s="115"/>
      <c r="J359" s="115"/>
      <c r="K359" s="115"/>
      <c r="L359" s="995"/>
      <c r="M359" s="115"/>
      <c r="N359" s="115"/>
      <c r="O359" s="115"/>
      <c r="P359" s="115"/>
      <c r="Q359" s="995"/>
      <c r="R359" s="115"/>
      <c r="S359" s="115"/>
      <c r="T359" s="115"/>
      <c r="U359" s="115"/>
      <c r="V359" s="995"/>
      <c r="W359" s="115"/>
      <c r="X359" s="115"/>
      <c r="Y359" s="115"/>
      <c r="Z359" s="115"/>
      <c r="AA359" s="998">
        <f t="shared" si="1183" ref="AA359:AL359">AA331</f>
        <v>1958</v>
      </c>
      <c r="AB359" s="58">
        <f t="shared" si="1183"/>
        <v>3845</v>
      </c>
      <c r="AC359" s="58">
        <f t="shared" si="1183"/>
        <v>3296</v>
      </c>
      <c r="AD359" s="58">
        <f t="shared" si="1183"/>
        <v>3198</v>
      </c>
      <c r="AE359" s="58">
        <f t="shared" si="1183"/>
        <v>1469</v>
      </c>
      <c r="AF359" s="998">
        <f t="shared" si="1183"/>
        <v>1469</v>
      </c>
      <c r="AG359" s="58">
        <f t="shared" si="1183"/>
        <v>2354</v>
      </c>
      <c r="AH359" s="58">
        <f t="shared" si="1183"/>
        <v>2747</v>
      </c>
      <c r="AI359" s="58">
        <f t="shared" si="1183"/>
        <v>3567</v>
      </c>
      <c r="AJ359" s="58">
        <f t="shared" si="1183"/>
        <v>2328</v>
      </c>
      <c r="AK359" s="998">
        <f t="shared" si="1183"/>
        <v>2328</v>
      </c>
      <c r="AL359" s="58">
        <f t="shared" si="1183"/>
        <v>3460</v>
      </c>
      <c r="AM359" s="58">
        <f>AM331</f>
        <v>3689</v>
      </c>
      <c r="AN359" s="58">
        <f>AN331</f>
        <v>2904</v>
      </c>
      <c r="AO359" s="58">
        <f t="shared" si="1184" ref="AO359:AP359">AO331</f>
        <v>5572</v>
      </c>
      <c r="AP359" s="998">
        <f t="shared" si="1184"/>
        <v>5572</v>
      </c>
      <c r="AQ359" s="58">
        <f t="shared" si="1185" ref="AQ359:AV359">AQ331</f>
        <v>4277</v>
      </c>
      <c r="AR359" s="58">
        <f t="shared" si="1185"/>
        <v>4310</v>
      </c>
      <c r="AS359" s="58">
        <f t="shared" si="1185"/>
        <v>3443</v>
      </c>
      <c r="AT359" s="58">
        <f t="shared" si="1185"/>
        <v>3362</v>
      </c>
      <c r="AU359" s="998">
        <f t="shared" si="1185"/>
        <v>3362</v>
      </c>
      <c r="AV359" s="58">
        <f t="shared" si="1185"/>
        <v>5020</v>
      </c>
      <c r="AW359" s="58">
        <f t="shared" si="1186" ref="AW359:BJ359">AW331</f>
        <v>5083</v>
      </c>
      <c r="AX359" s="58">
        <f t="shared" si="1186"/>
        <v>4484</v>
      </c>
      <c r="AY359" s="58">
        <f t="shared" si="1186"/>
        <v>4029</v>
      </c>
      <c r="AZ359" s="998">
        <f t="shared" si="1186"/>
        <v>4029</v>
      </c>
      <c r="BA359" s="58">
        <f t="shared" si="1187" ref="BA359:BI359">BA331</f>
        <v>4137</v>
      </c>
      <c r="BB359" s="58">
        <f t="shared" si="1187"/>
        <v>3136</v>
      </c>
      <c r="BC359" s="58">
        <f t="shared" si="1187"/>
        <v>2796</v>
      </c>
      <c r="BD359" s="58">
        <f t="shared" si="1187"/>
        <v>2775</v>
      </c>
      <c r="BE359" s="998">
        <f t="shared" si="1187"/>
        <v>2775</v>
      </c>
      <c r="BF359" s="58">
        <f>BF331</f>
        <v>2475</v>
      </c>
      <c r="BG359" s="58">
        <f>BG331</f>
        <v>2355</v>
      </c>
      <c r="BH359" s="744">
        <f>BH331</f>
        <v>2380</v>
      </c>
      <c r="BI359" s="115">
        <f t="shared" si="1187"/>
        <v>2320</v>
      </c>
      <c r="BJ359" s="995">
        <f t="shared" si="1186"/>
        <v>2320</v>
      </c>
      <c r="BK359" s="115">
        <f t="shared" si="1188" ref="BK359:BR359">BK331</f>
        <v>2260</v>
      </c>
      <c r="BL359" s="115">
        <f t="shared" si="1188"/>
        <v>2200</v>
      </c>
      <c r="BM359" s="115">
        <f t="shared" si="1188"/>
        <v>2140</v>
      </c>
      <c r="BN359" s="115">
        <f t="shared" si="1188"/>
        <v>2080</v>
      </c>
      <c r="BO359" s="995">
        <f t="shared" si="1188"/>
        <v>2080</v>
      </c>
      <c r="BP359" s="995">
        <f t="shared" si="1188"/>
        <v>1840</v>
      </c>
      <c r="BQ359" s="995">
        <f t="shared" si="1188"/>
        <v>1600</v>
      </c>
      <c r="BR359" s="995">
        <f t="shared" si="1188"/>
        <v>1360</v>
      </c>
      <c r="BS359" s="305"/>
    </row>
    <row r="360" spans="1:71" s="51" customFormat="1" ht="15">
      <c r="A360" s="109" t="s">
        <v>609</v>
      </c>
      <c r="B360" s="391"/>
      <c r="C360" s="999">
        <f t="shared" si="1189" ref="C360:Z360">C949</f>
        <v>99833</v>
      </c>
      <c r="D360" s="999">
        <f t="shared" si="1189"/>
        <v>100483</v>
      </c>
      <c r="E360" s="999">
        <f t="shared" si="1189"/>
        <v>95618</v>
      </c>
      <c r="F360" s="999">
        <f t="shared" si="1189"/>
        <v>97278</v>
      </c>
      <c r="G360" s="999">
        <f t="shared" si="1189"/>
        <v>81155</v>
      </c>
      <c r="H360" s="57">
        <f t="shared" si="1189"/>
        <v>81690</v>
      </c>
      <c r="I360" s="57">
        <f t="shared" si="1189"/>
        <v>82563</v>
      </c>
      <c r="J360" s="57">
        <f t="shared" si="1189"/>
        <v>80721</v>
      </c>
      <c r="K360" s="57">
        <f t="shared" si="1189"/>
        <v>81113</v>
      </c>
      <c r="L360" s="999">
        <f t="shared" si="1189"/>
        <v>81113</v>
      </c>
      <c r="M360" s="57">
        <f t="shared" si="1189"/>
        <v>80437</v>
      </c>
      <c r="N360" s="57">
        <f t="shared" si="1189"/>
        <v>79141</v>
      </c>
      <c r="O360" s="57">
        <f t="shared" si="1189"/>
        <v>78342</v>
      </c>
      <c r="P360" s="57">
        <f t="shared" si="1189"/>
        <v>77758</v>
      </c>
      <c r="Q360" s="999">
        <f t="shared" si="1189"/>
        <v>77758</v>
      </c>
      <c r="R360" s="57">
        <f t="shared" si="1189"/>
        <v>78877</v>
      </c>
      <c r="S360" s="57">
        <f t="shared" si="1189"/>
        <v>79694</v>
      </c>
      <c r="T360" s="57">
        <f t="shared" si="1189"/>
        <v>81104</v>
      </c>
      <c r="U360" s="57">
        <f t="shared" si="1189"/>
        <v>81799</v>
      </c>
      <c r="V360" s="999">
        <f t="shared" si="1189"/>
        <v>81799</v>
      </c>
      <c r="W360" s="57">
        <f t="shared" si="1189"/>
        <v>81143</v>
      </c>
      <c r="X360" s="57">
        <f t="shared" si="1189"/>
        <v>81305</v>
      </c>
      <c r="Y360" s="57">
        <f t="shared" si="1189"/>
        <v>82771</v>
      </c>
      <c r="Z360" s="57">
        <f t="shared" si="1189"/>
        <v>82803</v>
      </c>
      <c r="AA360" s="999">
        <f t="shared" si="1190" ref="AA360:AK360">SUM(AA354:AA359)</f>
        <v>82803</v>
      </c>
      <c r="AB360" s="57">
        <f t="shared" si="1190"/>
        <v>83289</v>
      </c>
      <c r="AC360" s="57">
        <f t="shared" si="1190"/>
        <v>83241</v>
      </c>
      <c r="AD360" s="57">
        <f t="shared" si="1190"/>
        <v>83968</v>
      </c>
      <c r="AE360" s="57">
        <f t="shared" si="1190"/>
        <v>81260</v>
      </c>
      <c r="AF360" s="999">
        <f t="shared" si="1190"/>
        <v>81260</v>
      </c>
      <c r="AG360" s="57">
        <f t="shared" si="1190"/>
        <v>84121</v>
      </c>
      <c r="AH360" s="57">
        <f t="shared" si="1190"/>
        <v>86491</v>
      </c>
      <c r="AI360" s="57">
        <f t="shared" si="1190"/>
        <v>89307</v>
      </c>
      <c r="AJ360" s="57">
        <f t="shared" si="1190"/>
        <v>88362</v>
      </c>
      <c r="AK360" s="999">
        <f t="shared" si="1190"/>
        <v>88362</v>
      </c>
      <c r="AL360" s="57">
        <f>SUM(AL354:AL359)</f>
        <v>84842</v>
      </c>
      <c r="AM360" s="57">
        <f>SUM(AM354:AM359)</f>
        <v>89637</v>
      </c>
      <c r="AN360" s="57">
        <f>SUM(AN354:AN359)</f>
        <v>91197</v>
      </c>
      <c r="AO360" s="57">
        <f t="shared" si="1191" ref="AO360:AP360">SUM(AO354:AO359)</f>
        <v>94237</v>
      </c>
      <c r="AP360" s="999">
        <f t="shared" si="1191"/>
        <v>94237</v>
      </c>
      <c r="AQ360" s="57">
        <f t="shared" si="1192" ref="AQ360:AV360">SUM(AQ354:AQ359)</f>
        <v>60076</v>
      </c>
      <c r="AR360" s="57">
        <f t="shared" si="1192"/>
        <v>62570</v>
      </c>
      <c r="AS360" s="57">
        <f t="shared" si="1192"/>
        <v>61840</v>
      </c>
      <c r="AT360" s="57">
        <f t="shared" si="1192"/>
        <v>64701</v>
      </c>
      <c r="AU360" s="999">
        <f t="shared" si="1192"/>
        <v>64701</v>
      </c>
      <c r="AV360" s="57">
        <f t="shared" si="1192"/>
        <v>61768</v>
      </c>
      <c r="AW360" s="57">
        <f t="shared" si="1193" ref="AW360:BJ360">SUM(AW354:AW359)</f>
        <v>61055</v>
      </c>
      <c r="AX360" s="57">
        <f t="shared" si="1193"/>
        <v>61006</v>
      </c>
      <c r="AY360" s="57">
        <f t="shared" si="1193"/>
        <v>61829</v>
      </c>
      <c r="AZ360" s="999">
        <f t="shared" si="1193"/>
        <v>61829</v>
      </c>
      <c r="BA360" s="57">
        <f t="shared" si="1194" ref="BA360:BI360">SUM(BA354:BA359)</f>
        <v>63475</v>
      </c>
      <c r="BB360" s="57">
        <f t="shared" si="1194"/>
        <v>63668</v>
      </c>
      <c r="BC360" s="57">
        <f t="shared" si="1194"/>
        <v>63359</v>
      </c>
      <c r="BD360" s="57">
        <f t="shared" si="1194"/>
        <v>66677</v>
      </c>
      <c r="BE360" s="999">
        <f t="shared" si="1194"/>
        <v>66677</v>
      </c>
      <c r="BF360" s="57">
        <f>SUM(BF354:BF359)</f>
        <v>67859</v>
      </c>
      <c r="BG360" s="57">
        <f>SUM(BG354:BG359)</f>
        <v>70604</v>
      </c>
      <c r="BH360" s="745">
        <f>SUM(BH354:BH359)</f>
        <v>73602</v>
      </c>
      <c r="BI360" s="128">
        <f t="shared" si="1194"/>
        <v>64276.440000000002</v>
      </c>
      <c r="BJ360" s="1000">
        <f t="shared" si="1193"/>
        <v>64276.440000000002</v>
      </c>
      <c r="BK360" s="128">
        <f t="shared" si="1195" ref="BK360:BR360">SUM(BK354:BK359)</f>
        <v>68697.970000000001</v>
      </c>
      <c r="BL360" s="128">
        <f t="shared" si="1195"/>
        <v>67723.570000000007</v>
      </c>
      <c r="BM360" s="128">
        <f t="shared" si="1195"/>
        <v>71768.209999999992</v>
      </c>
      <c r="BN360" s="128">
        <f t="shared" si="1195"/>
        <v>62257.648799999995</v>
      </c>
      <c r="BO360" s="1000">
        <f t="shared" si="1195"/>
        <v>62257.648799999995</v>
      </c>
      <c r="BP360" s="1000">
        <f t="shared" si="1195"/>
        <v>62976.024335999995</v>
      </c>
      <c r="BQ360" s="1000">
        <f t="shared" si="1195"/>
        <v>63744.505360319999</v>
      </c>
      <c r="BR360" s="1000">
        <f t="shared" si="1195"/>
        <v>64568.4101327424</v>
      </c>
      <c r="BS360" s="57"/>
    </row>
    <row r="361" spans="1:71" s="51" customFormat="1" ht="15">
      <c r="A361" s="109" t="s">
        <v>25</v>
      </c>
      <c r="B361" s="391"/>
      <c r="C361" s="1000"/>
      <c r="D361" s="999">
        <f t="shared" si="1196" ref="D361:K361">AVERAGE(C360,D360)</f>
        <v>100158</v>
      </c>
      <c r="E361" s="999">
        <f t="shared" si="1196"/>
        <v>98050.50</v>
      </c>
      <c r="F361" s="999">
        <f t="shared" si="1196"/>
        <v>96448</v>
      </c>
      <c r="G361" s="999">
        <f t="shared" si="1196"/>
        <v>89216.50</v>
      </c>
      <c r="H361" s="57">
        <f t="shared" si="1196"/>
        <v>81422.50</v>
      </c>
      <c r="I361" s="57">
        <f t="shared" si="1196"/>
        <v>82126.50</v>
      </c>
      <c r="J361" s="57">
        <f t="shared" si="1196"/>
        <v>81642</v>
      </c>
      <c r="K361" s="57">
        <f t="shared" si="1196"/>
        <v>80917</v>
      </c>
      <c r="L361" s="999">
        <f>SUM(H361*H3,I361*I3,J361*J3,K361*K3)/L3</f>
        <v>81525.930136986295</v>
      </c>
      <c r="M361" s="57">
        <f>AVERAGE(L360,M360)</f>
        <v>80775</v>
      </c>
      <c r="N361" s="57">
        <f>AVERAGE(M360,N360)</f>
        <v>79789</v>
      </c>
      <c r="O361" s="57">
        <f>AVERAGE(N360,O360)</f>
        <v>78741.50</v>
      </c>
      <c r="P361" s="57">
        <f>AVERAGE(O360,P360)</f>
        <v>78050</v>
      </c>
      <c r="Q361" s="999">
        <f>SUM(M361*M3,N361*N3,O361*O3,P361*P3)/Q3</f>
        <v>79329.772602739729</v>
      </c>
      <c r="R361" s="57">
        <f>AVERAGE(Q360,R360)</f>
        <v>78317.50</v>
      </c>
      <c r="S361" s="57">
        <f>AVERAGE(R360,S360)</f>
        <v>79285.50</v>
      </c>
      <c r="T361" s="57">
        <f>AVERAGE(S360,T360)</f>
        <v>80399</v>
      </c>
      <c r="U361" s="57">
        <f>AVERAGE(T360,U360)</f>
        <v>81451.50</v>
      </c>
      <c r="V361" s="999">
        <f>SUM(R361*R3,S361*S3,T361*T3,U361*U3)/V3</f>
        <v>79869.177595628411</v>
      </c>
      <c r="W361" s="57">
        <f>AVERAGE(V360,W360)</f>
        <v>81471</v>
      </c>
      <c r="X361" s="57">
        <f>AVERAGE(W360,X360)</f>
        <v>81224</v>
      </c>
      <c r="Y361" s="57">
        <f>AVERAGE(X360,Y360)</f>
        <v>82038</v>
      </c>
      <c r="Z361" s="57">
        <f>AVERAGE(Y360,Z360)</f>
        <v>82787</v>
      </c>
      <c r="AA361" s="999">
        <f>SUM(W361*W3,X361*X3,Y361*Y3,Z361*Z3)/AA3</f>
        <v>81884.038356164383</v>
      </c>
      <c r="AB361" s="57">
        <f>AVERAGE(AA360,AB360)</f>
        <v>83046</v>
      </c>
      <c r="AC361" s="57">
        <f>AVERAGE(AB360,AC360)</f>
        <v>83265</v>
      </c>
      <c r="AD361" s="57">
        <f>AVERAGE(AC360,AD360)</f>
        <v>83604.50</v>
      </c>
      <c r="AE361" s="57">
        <f>AVERAGE(AD360,AE360)</f>
        <v>82614</v>
      </c>
      <c r="AF361" s="999">
        <f>SUM(AB361*AB3,AC361*AC3,AD361*AD3,AE361*AE3)/AF3</f>
        <v>83132.484931506842</v>
      </c>
      <c r="AG361" s="57">
        <f>AVERAGE(AF360,AG360)</f>
        <v>82690.50</v>
      </c>
      <c r="AH361" s="57">
        <f>AVERAGE(AG360,AH360)</f>
        <v>85306</v>
      </c>
      <c r="AI361" s="57">
        <f>AVERAGE(AH360,AI360)</f>
        <v>87899</v>
      </c>
      <c r="AJ361" s="57">
        <f>AVERAGE(AI360,AJ360)</f>
        <v>88834.50</v>
      </c>
      <c r="AK361" s="999">
        <f>SUM(AG361*AG3,AH361*AH3,AI361*AI3,AJ361*AJ3)/AK3</f>
        <v>86204.035616438356</v>
      </c>
      <c r="AL361" s="57">
        <f>AVERAGE(AK360,AL360)</f>
        <v>86602</v>
      </c>
      <c r="AM361" s="57">
        <f>AVERAGE(AL360,AM360)</f>
        <v>87239.50</v>
      </c>
      <c r="AN361" s="57">
        <f>AVERAGE(AM360,AN360)</f>
        <v>90417</v>
      </c>
      <c r="AO361" s="57">
        <f>AVERAGE(AN360,AO360)</f>
        <v>92717</v>
      </c>
      <c r="AP361" s="999">
        <f>SUM(AL361*AL3,AM361*AM3,AN361*AN3,AO361*AO3)/AP3</f>
        <v>89256.569672131154</v>
      </c>
      <c r="AQ361" s="57">
        <f>AVERAGE(AP360,AQ360)</f>
        <v>77156.50</v>
      </c>
      <c r="AR361" s="57">
        <f>AVERAGE(AQ360,AR360)</f>
        <v>61323</v>
      </c>
      <c r="AS361" s="57">
        <f>AVERAGE(AR360,AS360)</f>
        <v>62205</v>
      </c>
      <c r="AT361" s="57">
        <f>AVERAGE(AS360,AT360)</f>
        <v>63270.50</v>
      </c>
      <c r="AU361" s="999">
        <f>SUM(AQ361*AQ3,AR361*AR3,AS361*AS3,AT361*AT3)/AU3</f>
        <v>65940.339726027392</v>
      </c>
      <c r="AV361" s="57">
        <f>AVERAGE(AU360,AV360)</f>
        <v>63234.50</v>
      </c>
      <c r="AW361" s="57">
        <f>AVERAGE(AV360,AW360)</f>
        <v>61411.50</v>
      </c>
      <c r="AX361" s="57">
        <f>AVERAGE(AW360,AX360)</f>
        <v>61030.50</v>
      </c>
      <c r="AY361" s="57">
        <f>AVERAGE(AX360,AY360)</f>
        <v>61417.50</v>
      </c>
      <c r="AZ361" s="999">
        <f>SUM(AV361*AV3,AW361*AW3,AX361*AX3,AY361*AY3)/AZ3</f>
        <v>61766.486301369863</v>
      </c>
      <c r="BA361" s="57">
        <f>AVERAGE(AZ360,BA360)</f>
        <v>62652</v>
      </c>
      <c r="BB361" s="57">
        <f>AVERAGE(BA360,BB360)</f>
        <v>63571.50</v>
      </c>
      <c r="BC361" s="57">
        <f>AVERAGE(BB360,BC360)</f>
        <v>63513.50</v>
      </c>
      <c r="BD361" s="57">
        <f>AVERAGE(BC360,BD360)</f>
        <v>65018</v>
      </c>
      <c r="BE361" s="999">
        <f>SUM(BA361*BA3,BB361*BB3,BC361*BC3,BD361*BD3)/BE3</f>
        <v>63694.752054794524</v>
      </c>
      <c r="BF361" s="57">
        <f>AVERAGE(BE360,BF360)</f>
        <v>67268</v>
      </c>
      <c r="BG361" s="57">
        <f>AVERAGE(BF360,BG360)</f>
        <v>69231.50</v>
      </c>
      <c r="BH361" s="745">
        <f>AVERAGE(BG360,BH360)</f>
        <v>72103</v>
      </c>
      <c r="BI361" s="128">
        <f>AVERAGE(BH360,BI360)</f>
        <v>68939.220000000001</v>
      </c>
      <c r="BJ361" s="1000">
        <f>SUM(BF361*BF3,BG361*BG3,BH361*BH3,BI361*BI3)/BJ3</f>
        <v>69391.635901639354</v>
      </c>
      <c r="BK361" s="128">
        <f>AVERAGE(BJ360,BK360)</f>
        <v>66487.205000000002</v>
      </c>
      <c r="BL361" s="128">
        <f>AVERAGE(BK360,BL360)</f>
        <v>68210.770000000004</v>
      </c>
      <c r="BM361" s="128">
        <f>AVERAGE(BL360,BM360)</f>
        <v>69745.889999999999</v>
      </c>
      <c r="BN361" s="128">
        <f>AVERAGE(BM360,BN360)</f>
        <v>67012.929399999994</v>
      </c>
      <c r="BO361" s="1000">
        <f>SUM(BK361*BK3,BL361*BL3,BM361*BM3,BN361*BN3)/BO3</f>
        <v>67870.794259726026</v>
      </c>
      <c r="BP361" s="1000">
        <f>AVERAGE(BO360,BP360)</f>
        <v>62616.836567999999</v>
      </c>
      <c r="BQ361" s="1000">
        <f>AVERAGE(BP360,BQ360)</f>
        <v>63360.264848159997</v>
      </c>
      <c r="BR361" s="1000">
        <f>AVERAGE(BQ360,BR360)</f>
        <v>64156.457746531203</v>
      </c>
      <c r="BS361" s="57"/>
    </row>
    <row r="362" spans="1:71" s="29" customFormat="1" ht="15">
      <c r="A362" s="224" t="s">
        <v>26</v>
      </c>
      <c r="B362" s="79"/>
      <c r="C362" s="1026"/>
      <c r="D362" s="1026"/>
      <c r="E362" s="1026">
        <f>E361/D361-1</f>
        <v>-0.021041754028634729</v>
      </c>
      <c r="F362" s="1026">
        <f>F361/E361-1</f>
        <v>-0.016343618849470443</v>
      </c>
      <c r="G362" s="1026">
        <f>G361/F361-1</f>
        <v>-0.074978226609157317</v>
      </c>
      <c r="H362" s="219"/>
      <c r="I362" s="219"/>
      <c r="J362" s="219"/>
      <c r="K362" s="219"/>
      <c r="L362" s="1026">
        <f t="shared" si="1197" ref="L362:AK362">L361/G361-1</f>
        <v>-0.08620120564036593</v>
      </c>
      <c r="M362" s="219">
        <f t="shared" si="1197"/>
        <v>-0.0079523473241426279</v>
      </c>
      <c r="N362" s="219">
        <f t="shared" si="1197"/>
        <v>-0.028462189427285955</v>
      </c>
      <c r="O362" s="219">
        <f t="shared" si="1197"/>
        <v>-0.035527057151956143</v>
      </c>
      <c r="P362" s="219">
        <f t="shared" si="1197"/>
        <v>-0.03543136794493118</v>
      </c>
      <c r="Q362" s="1026">
        <f t="shared" si="1197"/>
        <v>-0.026938147538536628</v>
      </c>
      <c r="R362" s="219">
        <f t="shared" si="1197"/>
        <v>-0.030424017332095321</v>
      </c>
      <c r="S362" s="219">
        <f t="shared" si="1197"/>
        <v>-0.0063103936632868951</v>
      </c>
      <c r="T362" s="219">
        <f t="shared" si="1197"/>
        <v>0.021049891099356843</v>
      </c>
      <c r="U362" s="219">
        <f t="shared" si="1197"/>
        <v>0.043581037796284416</v>
      </c>
      <c r="V362" s="1026">
        <f t="shared" si="1197"/>
        <v>0.0067995277837220591</v>
      </c>
      <c r="W362" s="219">
        <f t="shared" si="1197"/>
        <v>0.040265585597088815</v>
      </c>
      <c r="X362" s="219">
        <f t="shared" si="1197"/>
        <v>0.024449615629591692</v>
      </c>
      <c r="Y362" s="219">
        <f t="shared" si="1197"/>
        <v>0.020385825694349435</v>
      </c>
      <c r="Z362" s="219">
        <f t="shared" si="1197"/>
        <v>0.016396260351251968</v>
      </c>
      <c r="AA362" s="1026">
        <f t="shared" si="1197"/>
        <v>0.025227012737467414</v>
      </c>
      <c r="AB362" s="219">
        <f t="shared" si="1197"/>
        <v>0.01933203225687663</v>
      </c>
      <c r="AC362" s="219">
        <f t="shared" si="1197"/>
        <v>0.025128040973111387</v>
      </c>
      <c r="AD362" s="219">
        <f t="shared" si="1197"/>
        <v>0.019094809722323802</v>
      </c>
      <c r="AE362" s="219">
        <f t="shared" si="1197"/>
        <v>-0.0020897000736830318</v>
      </c>
      <c r="AF362" s="1026">
        <f t="shared" si="1197"/>
        <v>0.015246519351087562</v>
      </c>
      <c r="AG362" s="244">
        <f t="shared" si="1197"/>
        <v>-0.004280760060689226</v>
      </c>
      <c r="AH362" s="244">
        <f t="shared" si="1197"/>
        <v>0.024512099921935926</v>
      </c>
      <c r="AI362" s="244">
        <f t="shared" si="1197"/>
        <v>0.051366852262737073</v>
      </c>
      <c r="AJ362" s="244">
        <f t="shared" si="1197"/>
        <v>0.075295954680804744</v>
      </c>
      <c r="AK362" s="1040">
        <f t="shared" si="1197"/>
        <v>0.036947658757730872</v>
      </c>
      <c r="AL362" s="244">
        <f t="shared" si="1198" ref="AL362">AL361/AG361-1</f>
        <v>0.047302894528391981</v>
      </c>
      <c r="AM362" s="244">
        <f>AM361/AH361-1</f>
        <v>0.022665463156167132</v>
      </c>
      <c r="AN362" s="244">
        <f>AN361/AI361-1</f>
        <v>0.028646514749883334</v>
      </c>
      <c r="AO362" s="244">
        <f t="shared" si="1199" ref="AO362:AP362">AO361/AJ361-1</f>
        <v>0.043704866915443841</v>
      </c>
      <c r="AP362" s="1040">
        <f t="shared" si="1199"/>
        <v>0.035410570211294123</v>
      </c>
      <c r="AQ362" s="244">
        <f t="shared" si="1200" ref="AQ362:AV362">AQ361/AL361-1</f>
        <v>-0.10906791990947096</v>
      </c>
      <c r="AR362" s="244">
        <f t="shared" si="1200"/>
        <v>-0.29707300018913452</v>
      </c>
      <c r="AS362" s="244">
        <f t="shared" si="1200"/>
        <v>-0.31202096950794656</v>
      </c>
      <c r="AT362" s="244">
        <f t="shared" si="1200"/>
        <v>-0.31759547871479876</v>
      </c>
      <c r="AU362" s="1040">
        <f t="shared" si="1200"/>
        <v>-0.26122704504275673</v>
      </c>
      <c r="AV362" s="244">
        <f t="shared" si="1200"/>
        <v>-0.18043845949466342</v>
      </c>
      <c r="AW362" s="244">
        <f t="shared" si="1201" ref="AW362:BJ362">AW361/AR361-1</f>
        <v>0.0014431779267158884</v>
      </c>
      <c r="AX362" s="244">
        <f t="shared" si="1201"/>
        <v>-0.018881118881118875</v>
      </c>
      <c r="AY362" s="244">
        <f t="shared" si="1201"/>
        <v>-0.029286950474549767</v>
      </c>
      <c r="AZ362" s="1040">
        <f t="shared" si="1201"/>
        <v>-0.063297420698760209</v>
      </c>
      <c r="BA362" s="244">
        <f t="shared" si="1202" ref="BA362:BI362">BA361/AV361-1</f>
        <v>-0.0092117435893380728</v>
      </c>
      <c r="BB362" s="244">
        <f t="shared" si="1202"/>
        <v>0.03517256539898872</v>
      </c>
      <c r="BC362" s="244">
        <f t="shared" si="1202"/>
        <v>0.040684575744914353</v>
      </c>
      <c r="BD362" s="244">
        <f t="shared" si="1202"/>
        <v>0.058623356535189464</v>
      </c>
      <c r="BE362" s="1040">
        <f t="shared" si="1202"/>
        <v>0.031218640866444991</v>
      </c>
      <c r="BF362" s="244">
        <f>BF361/BA361-1</f>
        <v>0.073676817978675757</v>
      </c>
      <c r="BG362" s="244">
        <f>BG361/BB361-1</f>
        <v>0.089033607827406991</v>
      </c>
      <c r="BH362" s="758">
        <f>BH361/BC361-1</f>
        <v>0.13523896494446053</v>
      </c>
      <c r="BI362" s="219">
        <f t="shared" si="1202"/>
        <v>0.060309760374050336</v>
      </c>
      <c r="BJ362" s="1026">
        <f t="shared" si="1201"/>
        <v>0.08944039599909237</v>
      </c>
      <c r="BK362" s="219">
        <f>BK361/BF361-1</f>
        <v>-0.011607227805197073</v>
      </c>
      <c r="BL362" s="219">
        <f>BL361/BG361-1</f>
        <v>-0.014743722149599514</v>
      </c>
      <c r="BM362" s="219">
        <f>BM361/BH361-1</f>
        <v>-0.032690872779218672</v>
      </c>
      <c r="BN362" s="219">
        <f>BN361/BI361-1</f>
        <v>-0.02794186821376865</v>
      </c>
      <c r="BO362" s="1026">
        <f>BO361/BJ361-1</f>
        <v>-0.021916786110491415</v>
      </c>
      <c r="BP362" s="1026">
        <f>BP361/BO361-1</f>
        <v>-0.07741117146235732</v>
      </c>
      <c r="BQ362" s="1026">
        <f>BQ361/BP361-1</f>
        <v>0.011872657912902707</v>
      </c>
      <c r="BR362" s="1026">
        <f>BR361/BQ361-1</f>
        <v>0.012566123267938378</v>
      </c>
      <c r="BS362" s="649"/>
    </row>
    <row r="363" spans="1:71" s="24" customFormat="1" ht="15">
      <c r="A363" s="501"/>
      <c r="B363" s="494"/>
      <c r="C363" s="1011"/>
      <c r="D363" s="1011"/>
      <c r="E363" s="1011"/>
      <c r="F363" s="1011"/>
      <c r="G363" s="1011"/>
      <c r="H363" s="130"/>
      <c r="I363" s="130"/>
      <c r="J363" s="130"/>
      <c r="K363" s="130"/>
      <c r="L363" s="1011"/>
      <c r="M363" s="130"/>
      <c r="N363" s="130"/>
      <c r="O363" s="130"/>
      <c r="P363" s="130"/>
      <c r="Q363" s="1011"/>
      <c r="R363" s="130"/>
      <c r="S363" s="130"/>
      <c r="T363" s="130"/>
      <c r="U363" s="130"/>
      <c r="V363" s="1011"/>
      <c r="W363" s="130"/>
      <c r="X363" s="130"/>
      <c r="Y363" s="130"/>
      <c r="Z363" s="130"/>
      <c r="AA363" s="1011"/>
      <c r="AB363" s="130"/>
      <c r="AC363" s="130"/>
      <c r="AD363" s="130"/>
      <c r="AE363" s="130"/>
      <c r="AF363" s="1011"/>
      <c r="AG363" s="130"/>
      <c r="AH363" s="130"/>
      <c r="AI363" s="130"/>
      <c r="AJ363" s="130"/>
      <c r="AK363" s="1011"/>
      <c r="AL363" s="130"/>
      <c r="AM363" s="130"/>
      <c r="AN363" s="130"/>
      <c r="AO363" s="130"/>
      <c r="AP363" s="1011"/>
      <c r="AQ363" s="130"/>
      <c r="AR363" s="130"/>
      <c r="AS363" s="130"/>
      <c r="AT363" s="130"/>
      <c r="AU363" s="1011"/>
      <c r="AV363" s="130"/>
      <c r="AW363" s="130"/>
      <c r="AX363" s="130"/>
      <c r="AY363" s="130"/>
      <c r="AZ363" s="1011"/>
      <c r="BA363" s="130"/>
      <c r="BB363" s="130"/>
      <c r="BC363" s="130"/>
      <c r="BD363" s="130"/>
      <c r="BE363" s="1011"/>
      <c r="BF363" s="130"/>
      <c r="BG363" s="130"/>
      <c r="BH363" s="748"/>
      <c r="BI363" s="130"/>
      <c r="BJ363" s="1011"/>
      <c r="BK363" s="130"/>
      <c r="BL363" s="130"/>
      <c r="BM363" s="130"/>
      <c r="BN363" s="130"/>
      <c r="BO363" s="1011"/>
      <c r="BP363" s="1011"/>
      <c r="BQ363" s="1011"/>
      <c r="BR363" s="1011"/>
      <c r="BS363" s="47"/>
    </row>
    <row r="364" spans="1:71" s="32" customFormat="1" ht="15">
      <c r="A364" s="220" t="s">
        <v>27</v>
      </c>
      <c r="B364" s="234"/>
      <c r="C364" s="1035"/>
      <c r="D364" s="1035">
        <f>ROUND(INDEX(MO_II_NetII,0,COLUMN())/INDEX(MO_II_InvestmentBalance,0,COLUMN()),6)</f>
        <v>0.040954999999999998</v>
      </c>
      <c r="E364" s="1035">
        <f>ROUND(INDEX(MO_II_NetII,0,COLUMN())/INDEX(MO_II_InvestmentBalance,0,COLUMN()),6)</f>
        <v>0.040500000000000001</v>
      </c>
      <c r="F364" s="1035">
        <f>ROUND(INDEX(MO_II_NetII,0,COLUMN())/INDEX(MO_II_InvestmentBalance,0,COLUMN()),6)</f>
        <v>0.041577000000000003</v>
      </c>
      <c r="G364" s="1035">
        <f>ROUND(INDEX(MO_II_NetII,0,COLUMN())/INDEX(MO_II_InvestmentBalance,0,COLUMN()),6)</f>
        <v>0.044195999999999999</v>
      </c>
      <c r="H364" s="221">
        <f>ROUND(INDEX(MO_II_NetII,0,COLUMN())/INDEX(MO_II_InvestmentBalance,0,COLUMN()),6)*(L$3/H$3)</f>
        <v>0.047766333333333334</v>
      </c>
      <c r="I364" s="221">
        <f>ROUND(INDEX(MO_II_NetII,0,COLUMN())/INDEX(MO_II_InvestmentBalance,0,COLUMN()),6)*(L$3/I$3)</f>
        <v>0.043856153846153843</v>
      </c>
      <c r="J364" s="221">
        <f>ROUND(INDEX(MO_II_NetII,0,COLUMN())/INDEX(MO_II_InvestmentBalance,0,COLUMN()),6)*(L$3/J$3)</f>
        <v>0.039995271739130436</v>
      </c>
      <c r="K364" s="221">
        <f>ROUND(INDEX(MO_II_NetII,0,COLUMN())/INDEX(MO_II_InvestmentBalance,0,COLUMN()),6)*(L$3/K$3)</f>
        <v>0.038194076086956526</v>
      </c>
      <c r="L364" s="1035">
        <f>ROUND(INDEX(MO_II_NetII,0,COLUMN())/INDEX(MO_II_InvestmentBalance,0,COLUMN()),6)</f>
        <v>0.042428</v>
      </c>
      <c r="M364" s="221">
        <f>ROUND(INDEX(MO_II_NetII,0,COLUMN())/INDEX(MO_II_InvestmentBalance,0,COLUMN()),6)*(Q$3/M$3)</f>
        <v>0.04267661111111111</v>
      </c>
      <c r="N364" s="221">
        <f>ROUND(INDEX(MO_II_NetII,0,COLUMN())/INDEX(MO_II_InvestmentBalance,0,COLUMN()),6)*(Q$3/N$3)</f>
        <v>0.039664670329670332</v>
      </c>
      <c r="O364" s="221">
        <f>ROUND(INDEX(MO_II_NetII,0,COLUMN())/INDEX(MO_II_InvestmentBalance,0,COLUMN()),6)*(Q$3/O$3)</f>
        <v>0.04066179347826087</v>
      </c>
      <c r="P364" s="221">
        <f>ROUND(INDEX(MO_II_NetII,0,COLUMN())/INDEX(MO_II_InvestmentBalance,0,COLUMN()),6)*(Q$3/P$3)</f>
        <v>0.036091358695652172</v>
      </c>
      <c r="Q364" s="1035">
        <f>ROUND(INDEX(MO_II_NetII,0,COLUMN())/INDEX(MO_II_InvestmentBalance,0,COLUMN()),6)</f>
        <v>0.039782999999999999</v>
      </c>
      <c r="R364" s="221">
        <f>ROUND(INDEX(MO_II_NetII,0,COLUMN())/INDEX(MO_II_InvestmentBalance,0,COLUMN()),6)*(V$3/R$3)</f>
        <v>0.037541142857142856</v>
      </c>
      <c r="S364" s="221">
        <f>ROUND(INDEX(MO_II_NetII,0,COLUMN())/INDEX(MO_II_InvestmentBalance,0,COLUMN()),6)*(V$3/S$3)</f>
        <v>0.038655230769230768</v>
      </c>
      <c r="T364" s="221">
        <f>ROUND(INDEX(MO_II_NetII,0,COLUMN())/INDEX(MO_II_InvestmentBalance,0,COLUMN()),6)*(V$3/T$3)</f>
        <v>0.037013739130434778</v>
      </c>
      <c r="U364" s="221">
        <f>ROUND(INDEX(MO_II_NetII,0,COLUMN())/INDEX(MO_II_InvestmentBalance,0,COLUMN()),6)*(V$3/U$3)</f>
        <v>0.039122217391304351</v>
      </c>
      <c r="V364" s="1035">
        <f>ROUND(INDEX(MO_II_NetII,0,COLUMN())/INDEX(MO_II_InvestmentBalance,0,COLUMN()),6)</f>
        <v>0.038087000000000003</v>
      </c>
      <c r="W364" s="221">
        <f>ROUND(INDEX(MO_II_NetII,0,COLUMN())/INDEX(MO_II_InvestmentBalance,0,COLUMN()),6)*(AA$3/W$3)</f>
        <v>0.037234055555555555</v>
      </c>
      <c r="X364" s="221">
        <f>ROUND(INDEX(MO_II_NetII,0,COLUMN())/INDEX(MO_II_InvestmentBalance,0,COLUMN()),6)*(AA$3/X$3)</f>
        <v>0.044297362637362635</v>
      </c>
      <c r="Y364" s="221">
        <f>ROUND(INDEX(MO_II_NetII,0,COLUMN())/INDEX(MO_II_InvestmentBalance,0,COLUMN()),6)*(AA$3/Y$3)</f>
        <v>0.040768913043478267</v>
      </c>
      <c r="Z364" s="221">
        <f>ROUND(INDEX(MO_II_NetII,0,COLUMN())/INDEX(MO_II_InvestmentBalance,0,COLUMN()),6)*(AA$3/Z$3)</f>
        <v>0.043752391304347826</v>
      </c>
      <c r="AA364" s="1035">
        <f>ROUND(INDEX(MO_II_NetII,0,COLUMN())/INDEX(MO_II_InvestmentBalance,0,COLUMN()),6)</f>
        <v>0.041534000000000001</v>
      </c>
      <c r="AB364" s="221">
        <f>ROUND(INDEX(MO_II_NetII,0,COLUMN())/INDEX(MO_II_InvestmentBalance,0,COLUMN()),6)*(AF$3/AB$3)</f>
        <v>0.038385833333333327</v>
      </c>
      <c r="AC364" s="221">
        <f>ROUND(INDEX(MO_II_NetII,0,COLUMN())/INDEX(MO_II_InvestmentBalance,0,COLUMN()),6)*(AF$3/AC$3)</f>
        <v>0.039692747252747254</v>
      </c>
      <c r="AD364" s="221">
        <f>ROUND(INDEX(MO_II_NetII,0,COLUMN())/INDEX(MO_II_InvestmentBalance,0,COLUMN()),6)*(AF$3/AD$3)</f>
        <v>0.040050815217391303</v>
      </c>
      <c r="AE364" s="221">
        <f>ROUND(INDEX(MO_II_NetII,0,COLUMN())/INDEX(MO_II_InvestmentBalance,0,COLUMN()),6)*(AF$3/AE$3)</f>
        <v>0.037745760869565215</v>
      </c>
      <c r="AF364" s="1035">
        <f>ROUND(INDEX(MO_II_NetII,0,COLUMN())/INDEX(MO_II_InvestmentBalance,0,COLUMN()),6)</f>
        <v>0.038974000000000002</v>
      </c>
      <c r="AG364" s="221">
        <f>ROUND(INDEX(MO_II_NetII,0,COLUMN())/INDEX(MO_II_InvestmentBalance,0,COLUMN()),6)*(AK$3/AG$3)</f>
        <v>0.031779333333333326</v>
      </c>
      <c r="AH364" s="221">
        <f>ROUND(INDEX(MO_II_NetII,0,COLUMN())/INDEX(MO_II_InvestmentBalance,0,COLUMN()),6)*(AK$3/AH$3)</f>
        <v>0.044293351648351652</v>
      </c>
      <c r="AI364" s="221">
        <f>ROUND(INDEX(MO_II_NetII,0,COLUMN())/INDEX(MO_II_InvestmentBalance,0,COLUMN()),6)*(AK$3/AI$3)</f>
        <v>0.03971755434782609</v>
      </c>
      <c r="AJ364" s="54">
        <f>ROUND(INDEX(MO_II_NetII,0,COLUMN())/INDEX(MO_II_InvestmentBalance,0,COLUMN()),6)*(AK$3/AJ$3)</f>
        <v>0.03077108695652174</v>
      </c>
      <c r="AK364" s="1036">
        <f>ROUND(INDEX(MO_II_NetII,0,COLUMN())/INDEX(MO_II_InvestmentBalance,0,COLUMN()),6)</f>
        <v>0.036645999999999998</v>
      </c>
      <c r="AL364" s="54">
        <f>ROUND(INDEX(MO_II_NetII,0,COLUMN())/INDEX(MO_II_InvestmentBalance,0,COLUMN()),6)*(AP$3/AL$3)</f>
        <v>0.011426439560439561</v>
      </c>
      <c r="AM364" s="221">
        <f>ROUND(INDEX(MO_II_NetII,0,COLUMN())/INDEX(MO_II_InvestmentBalance,0,COLUMN()),6)*(AP$3/AM$3)</f>
        <v>0.010143428571428571</v>
      </c>
      <c r="AN364" s="221">
        <f>ROUND(INDEX(MO_II_NetII,0,COLUMN())/INDEX(MO_II_InvestmentBalance,0,COLUMN()),6)*(AP$3/AN$3)</f>
        <v>0.020416434782608697</v>
      </c>
      <c r="AO364" s="54">
        <f>ROUND(INDEX(MO_II_NetII,0,COLUMN())/INDEX(MO_II_InvestmentBalance,0,COLUMN()),6)*(AP$3/AO$3)</f>
        <v>0.028317260869565219</v>
      </c>
      <c r="AP364" s="1036">
        <f>ROUND(INDEX(MO_II_NetII,0,COLUMN())/INDEX(MO_II_InvestmentBalance,0,COLUMN()),6)</f>
        <v>0.017814</v>
      </c>
      <c r="AQ364" s="54">
        <f>ROUND(INDEX(MO_II_NetII,0,COLUMN())/INDEX(MO_II_InvestmentBalance,0,COLUMN()),6)*(AU$3/AQ$3)</f>
        <v>0.037213777777777776</v>
      </c>
      <c r="AR364" s="221">
        <f>ROUND(INDEX(MO_II_NetII,0,COLUMN())/INDEX(MO_II_InvestmentBalance,0,COLUMN()),6)*(AU$3/AR$3)</f>
        <v>0.063706538461538467</v>
      </c>
      <c r="AS364" s="221">
        <f>ROUND(INDEX(MO_II_NetII,0,COLUMN())/INDEX(MO_II_InvestmentBalance,0,COLUMN()),6)*(AU$3/AS$3)</f>
        <v>0.0487275</v>
      </c>
      <c r="AT364" s="54">
        <f>ROUND(INDEX(MO_II_NetII,0,COLUMN())/INDEX(MO_II_InvestmentBalance,0,COLUMN()),6)*(AU$3/AT$3)</f>
        <v>0.053111467391304346</v>
      </c>
      <c r="AU364" s="1036">
        <f>ROUND(INDEX(MO_II_NetII,0,COLUMN())/INDEX(MO_II_InvestmentBalance,0,COLUMN()),6)</f>
        <v>0.049938999999999997</v>
      </c>
      <c r="AV364" s="54">
        <f>ROUND(INDEX(MO_II_NetII,0,COLUMN())/INDEX(MO_II_InvestmentBalance,0,COLUMN()),6)*(AZ$3/AV$3)</f>
        <v>0.038097888888888883</v>
      </c>
      <c r="AW364" s="221">
        <f>ROUND(INDEX(MO_II_NetII,0,COLUMN())/INDEX(MO_II_InvestmentBalance,0,COLUMN()),6)*(AZ$3/AW$3)</f>
        <v>0.036704560439560434</v>
      </c>
      <c r="AX364" s="221">
        <f>ROUND(INDEX(MO_II_NetII,0,COLUMN())/INDEX(MO_II_InvestmentBalance,0,COLUMN()),6)*(AZ$3/AX$3)</f>
        <v>0.044855326086956526</v>
      </c>
      <c r="AY364" s="54">
        <f>ROUND(INDEX(MO_II_NetII,0,COLUMN())/INDEX(MO_II_InvestmentBalance,0,COLUMN()),6)*(AZ$3/AY$3)</f>
        <v>0.035980271739130439</v>
      </c>
      <c r="AZ364" s="1036">
        <f>ROUND(INDEX(MO_II_NetII,0,COLUMN())/INDEX(MO_II_InvestmentBalance,0,COLUMN()),6)</f>
        <v>0.038905000000000002</v>
      </c>
      <c r="BA364" s="54">
        <f>ROUND(INDEX(MO_II_NetII,0,COLUMN())/INDEX(MO_II_InvestmentBalance,0,COLUMN()),6)*(BE$3/BA$3)</f>
        <v>0.037221888888888888</v>
      </c>
      <c r="BB364" s="221">
        <f>ROUND(INDEX(MO_II_NetII,0,COLUMN())/INDEX(MO_II_InvestmentBalance,0,COLUMN()),6)*(BE$3/BB$3)</f>
        <v>0.038485439560439559</v>
      </c>
      <c r="BC364" s="221">
        <f>ROUND(INDEX(MO_II_NetII,0,COLUMN())/INDEX(MO_II_InvestmentBalance,0,COLUMN()),6)*(BE$3/BC$3)</f>
        <v>0.04303826086956522</v>
      </c>
      <c r="BD364" s="54">
        <f>ROUND(INDEX(MO_II_NetII,0,COLUMN())/INDEX(MO_II_InvestmentBalance,0,COLUMN()),6)*(BE$3/BD$3)</f>
        <v>0.036857065217391301</v>
      </c>
      <c r="BE364" s="1036">
        <f>ROUND(INDEX(MO_II_NetII,0,COLUMN())/INDEX(MO_II_InvestmentBalance,0,COLUMN()),6)</f>
        <v>0.038904000000000001</v>
      </c>
      <c r="BF364" s="54">
        <f>ROUND(INDEX(MO_II_NetII,0,COLUMN())/INDEX(MO_II_InvestmentBalance,0,COLUMN()),6)*(BJ$3/BF$3)</f>
        <v>0.045681626373626376</v>
      </c>
      <c r="BG364" s="221">
        <f>ROUND(INDEX(MO_II_NetII,0,COLUMN())/INDEX(MO_II_InvestmentBalance,0,COLUMN()),6)*(BJ$3/BG$3)</f>
        <v>0.041362021978021975</v>
      </c>
      <c r="BH364" s="757">
        <f>ROUND(INDEX(MO_II_NetII,0,COLUMN())/INDEX(MO_II_InvestmentBalance,0,COLUMN()),6)*(BJ$3/BH$3)</f>
        <v>0.043199934782608695</v>
      </c>
      <c r="BI364" s="221">
        <f>ROUND(INDEX(MO_II_NetII,0,COLUMN())/INDEX(MO_II_InvestmentBalance,0,COLUMN()),6)*(BJ$3/BI$3)</f>
        <v>0.037610478260869565</v>
      </c>
      <c r="BJ364" s="1035">
        <f>ROUND(INDEX(MO_II_NetII,0,COLUMN())/INDEX(MO_II_InvestmentBalance,0,COLUMN()),6)</f>
        <v>0.041946999999999998</v>
      </c>
      <c r="BK364" s="221">
        <f>ROUND(INDEX(MO_II_NetII,0,COLUMN())/INDEX(MO_II_InvestmentBalance,0,COLUMN()),6)*(BO$3/BK$3)</f>
        <v>0.037627444444444443</v>
      </c>
      <c r="BL364" s="221">
        <f>ROUND(INDEX(MO_II_NetII,0,COLUMN())/INDEX(MO_II_InvestmentBalance,0,COLUMN()),6)*(BO$3/BL$3)</f>
        <v>0.037639120879120878</v>
      </c>
      <c r="BM364" s="221">
        <f>ROUND(INDEX(MO_II_NetII,0,COLUMN())/INDEX(MO_II_InvestmentBalance,0,COLUMN()),6)*(BO$3/BM$3)</f>
        <v>0.037610869565217392</v>
      </c>
      <c r="BN364" s="221">
        <f>ROUND(INDEX(MO_II_NetII,0,COLUMN())/INDEX(MO_II_InvestmentBalance,0,COLUMN()),6)*(BO$3/BN$3)</f>
        <v>0.037587065217391302</v>
      </c>
      <c r="BO364" s="1035">
        <f>ROUND(INDEX(MO_II_NetII,0,COLUMN())/INDEX(MO_II_InvestmentBalance,0,COLUMN()),6)</f>
        <v>0.037615999999999997</v>
      </c>
      <c r="BP364" s="1035">
        <f>ROUND(INDEX(MO_II_NetII,0,COLUMN())/INDEX(MO_II_InvestmentBalance,0,COLUMN()),6)</f>
        <v>0.037589999999999998</v>
      </c>
      <c r="BQ364" s="1035">
        <f>ROUND(INDEX(MO_II_NetII,0,COLUMN())/INDEX(MO_II_InvestmentBalance,0,COLUMN()),6)</f>
        <v>0.037588999999999997</v>
      </c>
      <c r="BR364" s="1035">
        <f>ROUND(INDEX(MO_II_NetII,0,COLUMN())/INDEX(MO_II_InvestmentBalance,0,COLUMN()),6)</f>
        <v>0.037585</v>
      </c>
      <c r="BS364" s="54"/>
    </row>
    <row r="365" spans="1:71" s="22" customFormat="1" ht="15">
      <c r="A365" s="491"/>
      <c r="B365" s="485"/>
      <c r="C365" s="1010"/>
      <c r="D365" s="1010"/>
      <c r="E365" s="1010"/>
      <c r="F365" s="1010"/>
      <c r="G365" s="1010"/>
      <c r="H365" s="840"/>
      <c r="I365" s="840"/>
      <c r="J365" s="840"/>
      <c r="K365" s="840"/>
      <c r="L365" s="1010"/>
      <c r="M365" s="840"/>
      <c r="N365" s="840"/>
      <c r="O365" s="840"/>
      <c r="P365" s="840"/>
      <c r="Q365" s="1010"/>
      <c r="R365" s="840"/>
      <c r="S365" s="840"/>
      <c r="T365" s="840"/>
      <c r="U365" s="840"/>
      <c r="V365" s="1010"/>
      <c r="W365" s="840"/>
      <c r="X365" s="840"/>
      <c r="Y365" s="840"/>
      <c r="Z365" s="840"/>
      <c r="AA365" s="1010"/>
      <c r="AB365" s="840"/>
      <c r="AC365" s="840"/>
      <c r="AD365" s="840"/>
      <c r="AE365" s="840"/>
      <c r="AF365" s="1010"/>
      <c r="AG365" s="840"/>
      <c r="AH365" s="840"/>
      <c r="AI365" s="840"/>
      <c r="AJ365" s="840"/>
      <c r="AK365" s="1010"/>
      <c r="AL365" s="840"/>
      <c r="AM365" s="840"/>
      <c r="AN365" s="840"/>
      <c r="AO365" s="840"/>
      <c r="AP365" s="1010"/>
      <c r="AQ365" s="840"/>
      <c r="AR365" s="840"/>
      <c r="AS365" s="840"/>
      <c r="AT365" s="840"/>
      <c r="AU365" s="1010"/>
      <c r="AV365" s="840"/>
      <c r="AW365" s="840"/>
      <c r="AX365" s="840"/>
      <c r="AY365" s="840"/>
      <c r="AZ365" s="1010"/>
      <c r="BA365" s="840"/>
      <c r="BB365" s="840"/>
      <c r="BC365" s="840"/>
      <c r="BD365" s="840"/>
      <c r="BE365" s="1010"/>
      <c r="BF365" s="840"/>
      <c r="BG365" s="840"/>
      <c r="BH365" s="841"/>
      <c r="BI365" s="840"/>
      <c r="BJ365" s="1010"/>
      <c r="BK365" s="840"/>
      <c r="BL365" s="840"/>
      <c r="BM365" s="840"/>
      <c r="BN365" s="840"/>
      <c r="BO365" s="1010"/>
      <c r="BP365" s="1010"/>
      <c r="BQ365" s="1010"/>
      <c r="BR365" s="1010"/>
      <c r="BS365" s="822"/>
    </row>
    <row r="366" spans="1:71" s="51" customFormat="1" ht="15">
      <c r="A366" s="109" t="s">
        <v>28</v>
      </c>
      <c r="B366" s="391"/>
      <c r="C366" s="999">
        <f t="shared" si="1203" ref="C366:AL366">C673</f>
        <v>4444</v>
      </c>
      <c r="D366" s="999">
        <f t="shared" si="1203"/>
        <v>4102</v>
      </c>
      <c r="E366" s="999">
        <f t="shared" si="1203"/>
        <v>3971</v>
      </c>
      <c r="F366" s="999">
        <f t="shared" si="1203"/>
        <v>4010</v>
      </c>
      <c r="G366" s="999">
        <f t="shared" si="1203"/>
        <v>3943</v>
      </c>
      <c r="H366" s="57">
        <f t="shared" si="1203"/>
        <v>959</v>
      </c>
      <c r="I366" s="57">
        <f t="shared" si="1203"/>
        <v>898</v>
      </c>
      <c r="J366" s="57">
        <f t="shared" si="1203"/>
        <v>823</v>
      </c>
      <c r="K366" s="57">
        <f t="shared" si="1203"/>
        <v>779</v>
      </c>
      <c r="L366" s="999">
        <f t="shared" si="1203"/>
        <v>3459</v>
      </c>
      <c r="M366" s="57">
        <f t="shared" si="1203"/>
        <v>850</v>
      </c>
      <c r="N366" s="57">
        <f t="shared" si="1203"/>
        <v>789</v>
      </c>
      <c r="O366" s="57">
        <f t="shared" si="1203"/>
        <v>807</v>
      </c>
      <c r="P366" s="57">
        <f t="shared" si="1203"/>
        <v>710</v>
      </c>
      <c r="Q366" s="999">
        <f t="shared" si="1203"/>
        <v>3156</v>
      </c>
      <c r="R366" s="57">
        <f t="shared" si="1203"/>
        <v>731</v>
      </c>
      <c r="S366" s="57">
        <f t="shared" si="1203"/>
        <v>762</v>
      </c>
      <c r="T366" s="57">
        <f t="shared" si="1203"/>
        <v>748</v>
      </c>
      <c r="U366" s="57">
        <f t="shared" si="1203"/>
        <v>801</v>
      </c>
      <c r="V366" s="999">
        <f t="shared" si="1203"/>
        <v>3042</v>
      </c>
      <c r="W366" s="57">
        <f t="shared" si="1203"/>
        <v>748</v>
      </c>
      <c r="X366" s="57">
        <f t="shared" si="1203"/>
        <v>897</v>
      </c>
      <c r="Y366" s="57">
        <f t="shared" si="1203"/>
        <v>843</v>
      </c>
      <c r="Z366" s="57">
        <f t="shared" si="1203"/>
        <v>913</v>
      </c>
      <c r="AA366" s="999">
        <f t="shared" si="1203"/>
        <v>3401</v>
      </c>
      <c r="AB366" s="57">
        <f t="shared" si="1203"/>
        <v>786</v>
      </c>
      <c r="AC366" s="57">
        <f t="shared" si="1203"/>
        <v>824</v>
      </c>
      <c r="AD366" s="57">
        <f t="shared" si="1203"/>
        <v>844</v>
      </c>
      <c r="AE366" s="57">
        <f t="shared" si="1203"/>
        <v>786</v>
      </c>
      <c r="AF366" s="999">
        <f t="shared" si="1203"/>
        <v>3240</v>
      </c>
      <c r="AG366" s="57">
        <f t="shared" si="1203"/>
        <v>648</v>
      </c>
      <c r="AH366" s="57">
        <f t="shared" si="1203"/>
        <v>942</v>
      </c>
      <c r="AI366" s="57">
        <f t="shared" si="1203"/>
        <v>880</v>
      </c>
      <c r="AJ366" s="57">
        <f t="shared" si="1203"/>
        <v>689</v>
      </c>
      <c r="AK366" s="999">
        <f t="shared" si="1203"/>
        <v>3159</v>
      </c>
      <c r="AL366" s="57">
        <f t="shared" si="1203"/>
        <v>246</v>
      </c>
      <c r="AM366" s="57">
        <f>AM673</f>
        <v>220</v>
      </c>
      <c r="AN366" s="57">
        <f>AN673</f>
        <v>464</v>
      </c>
      <c r="AO366" s="57">
        <f t="shared" si="1204" ref="AO366:AP366">AO673</f>
        <v>660</v>
      </c>
      <c r="AP366" s="999">
        <f t="shared" si="1204"/>
        <v>1590</v>
      </c>
      <c r="AQ366" s="57">
        <f t="shared" si="1205" ref="AQ366:AV366">AQ673</f>
        <v>708</v>
      </c>
      <c r="AR366" s="57">
        <f t="shared" si="1205"/>
        <v>974</v>
      </c>
      <c r="AS366" s="57">
        <f t="shared" si="1205"/>
        <v>764</v>
      </c>
      <c r="AT366" s="57">
        <f t="shared" si="1205"/>
        <v>847</v>
      </c>
      <c r="AU366" s="999">
        <f t="shared" si="1205"/>
        <v>3293</v>
      </c>
      <c r="AV366" s="57">
        <f t="shared" si="1205"/>
        <v>594</v>
      </c>
      <c r="AW366" s="57">
        <f t="shared" si="1206" ref="AW366:BB366">AW673</f>
        <v>562</v>
      </c>
      <c r="AX366" s="57">
        <f t="shared" si="1206"/>
        <v>690</v>
      </c>
      <c r="AY366" s="57">
        <f t="shared" si="1206"/>
        <v>557</v>
      </c>
      <c r="AZ366" s="999">
        <f t="shared" si="1206"/>
        <v>2403</v>
      </c>
      <c r="BA366" s="57">
        <f t="shared" si="1206"/>
        <v>575</v>
      </c>
      <c r="BB366" s="57">
        <f t="shared" si="1206"/>
        <v>610</v>
      </c>
      <c r="BC366" s="57">
        <f t="shared" si="1207" ref="BC366:BH366">BC673</f>
        <v>689</v>
      </c>
      <c r="BD366" s="57">
        <f t="shared" si="1207"/>
        <v>604</v>
      </c>
      <c r="BE366" s="999">
        <f t="shared" si="1207"/>
        <v>2478</v>
      </c>
      <c r="BF366" s="57">
        <f t="shared" si="1207"/>
        <v>764</v>
      </c>
      <c r="BG366" s="57">
        <f t="shared" si="1207"/>
        <v>712</v>
      </c>
      <c r="BH366" s="745">
        <f t="shared" si="1207"/>
        <v>783</v>
      </c>
      <c r="BI366" s="128">
        <f>BI194+BI233+BI536+BI271+BI575+BI309</f>
        <v>651.73806972677585</v>
      </c>
      <c r="BJ366" s="1000">
        <f>SUM(BF366,BG366,BH366,BI366)</f>
        <v>2910.7380697267758</v>
      </c>
      <c r="BK366" s="128">
        <f>BK194+BK233+BK536+BK271+BK575+BK309</f>
        <v>616.86650835616433</v>
      </c>
      <c r="BL366" s="128">
        <f>BL194+BL233+BL536+BL271+BL575+BL309</f>
        <v>640.07192689041096</v>
      </c>
      <c r="BM366" s="128">
        <f>BM194+BM233+BM536+BM271+BM575+BM309</f>
        <v>661.17964016438361</v>
      </c>
      <c r="BN366" s="128">
        <f>BN194+BN233+BN536+BN271+BN575+BN309</f>
        <v>634.88533446136989</v>
      </c>
      <c r="BO366" s="1000">
        <f>SUM(BK366,BL366,BM366,BN366)</f>
        <v>2553.003409872329</v>
      </c>
      <c r="BP366" s="1000">
        <f>BP194+BP233+BP536+BP271+BP575+BP309</f>
        <v>2353.7553568439998</v>
      </c>
      <c r="BQ366" s="1000">
        <f>BQ194+BQ233+BQ536+BQ271+BQ575+BQ309</f>
        <v>2381.6766859792801</v>
      </c>
      <c r="BR366" s="1000">
        <f>BR194+BR233+BR536+BR271+BR575+BR309</f>
        <v>2411.3505328736496</v>
      </c>
      <c r="BS366" s="57"/>
    </row>
    <row r="367" spans="1:71" s="22" customFormat="1" ht="15">
      <c r="A367" s="491"/>
      <c r="B367" s="485"/>
      <c r="C367" s="1010"/>
      <c r="D367" s="1010"/>
      <c r="E367" s="1010"/>
      <c r="F367" s="1010"/>
      <c r="G367" s="1010"/>
      <c r="H367" s="840"/>
      <c r="I367" s="840"/>
      <c r="J367" s="840"/>
      <c r="K367" s="840"/>
      <c r="L367" s="1010"/>
      <c r="M367" s="840"/>
      <c r="N367" s="840"/>
      <c r="O367" s="840"/>
      <c r="P367" s="840"/>
      <c r="Q367" s="1010"/>
      <c r="R367" s="840"/>
      <c r="S367" s="840"/>
      <c r="T367" s="840"/>
      <c r="U367" s="840"/>
      <c r="V367" s="1010"/>
      <c r="W367" s="840"/>
      <c r="X367" s="840"/>
      <c r="Y367" s="840"/>
      <c r="Z367" s="840"/>
      <c r="AA367" s="1010"/>
      <c r="AB367" s="840"/>
      <c r="AC367" s="840"/>
      <c r="AD367" s="840"/>
      <c r="AE367" s="840"/>
      <c r="AF367" s="1010"/>
      <c r="AG367" s="840"/>
      <c r="AH367" s="840"/>
      <c r="AI367" s="840"/>
      <c r="AJ367" s="840"/>
      <c r="AK367" s="1010"/>
      <c r="AL367" s="840"/>
      <c r="AM367" s="840"/>
      <c r="AN367" s="840"/>
      <c r="AO367" s="840"/>
      <c r="AP367" s="1010"/>
      <c r="AQ367" s="840"/>
      <c r="AR367" s="840"/>
      <c r="AS367" s="840"/>
      <c r="AT367" s="840"/>
      <c r="AU367" s="1010"/>
      <c r="AV367" s="840"/>
      <c r="AW367" s="840"/>
      <c r="AX367" s="840"/>
      <c r="AY367" s="840"/>
      <c r="AZ367" s="1010"/>
      <c r="BA367" s="840"/>
      <c r="BB367" s="840"/>
      <c r="BC367" s="840"/>
      <c r="BD367" s="840"/>
      <c r="BE367" s="1010"/>
      <c r="BF367" s="840"/>
      <c r="BG367" s="840"/>
      <c r="BH367" s="841"/>
      <c r="BI367" s="840"/>
      <c r="BJ367" s="1010"/>
      <c r="BK367" s="840"/>
      <c r="BL367" s="840"/>
      <c r="BM367" s="840"/>
      <c r="BN367" s="840"/>
      <c r="BO367" s="1010"/>
      <c r="BP367" s="1010"/>
      <c r="BQ367" s="1010"/>
      <c r="BR367" s="1010"/>
      <c r="BS367" s="822"/>
    </row>
    <row r="368" spans="1:71" s="51" customFormat="1" ht="15">
      <c r="A368" s="109" t="s">
        <v>29</v>
      </c>
      <c r="B368" s="391"/>
      <c r="C368" s="999">
        <f t="shared" si="1208" ref="C368:AL368">C617</f>
        <v>-583</v>
      </c>
      <c r="D368" s="999">
        <f t="shared" si="1208"/>
        <v>-827</v>
      </c>
      <c r="E368" s="999">
        <f t="shared" si="1208"/>
        <v>503</v>
      </c>
      <c r="F368" s="999">
        <f t="shared" si="1208"/>
        <v>327</v>
      </c>
      <c r="G368" s="999">
        <f t="shared" si="1208"/>
        <v>594</v>
      </c>
      <c r="H368" s="57">
        <f t="shared" si="1208"/>
        <v>54</v>
      </c>
      <c r="I368" s="57">
        <f t="shared" si="1208"/>
        <v>240</v>
      </c>
      <c r="J368" s="57">
        <f t="shared" si="1208"/>
        <v>294</v>
      </c>
      <c r="K368" s="57">
        <f t="shared" si="1208"/>
        <v>106</v>
      </c>
      <c r="L368" s="999">
        <f t="shared" si="1208"/>
        <v>694</v>
      </c>
      <c r="M368" s="57">
        <f t="shared" si="1208"/>
        <v>139</v>
      </c>
      <c r="N368" s="57">
        <f t="shared" si="1208"/>
        <v>108</v>
      </c>
      <c r="O368" s="57">
        <f t="shared" si="1208"/>
        <v>33</v>
      </c>
      <c r="P368" s="57">
        <f t="shared" si="1208"/>
        <v>-250</v>
      </c>
      <c r="Q368" s="999">
        <f t="shared" si="1208"/>
        <v>30</v>
      </c>
      <c r="R368" s="57">
        <f t="shared" si="1208"/>
        <v>-149</v>
      </c>
      <c r="S368" s="57">
        <f t="shared" si="1208"/>
        <v>24</v>
      </c>
      <c r="T368" s="57">
        <f t="shared" si="1208"/>
        <v>33</v>
      </c>
      <c r="U368" s="57">
        <f t="shared" si="1208"/>
        <v>2</v>
      </c>
      <c r="V368" s="999">
        <f t="shared" si="1208"/>
        <v>-90</v>
      </c>
      <c r="W368" s="57">
        <f t="shared" si="1208"/>
        <v>134</v>
      </c>
      <c r="X368" s="57">
        <f t="shared" si="1208"/>
        <v>81</v>
      </c>
      <c r="Y368" s="57">
        <f t="shared" si="1208"/>
        <v>103</v>
      </c>
      <c r="Z368" s="57">
        <f t="shared" si="1208"/>
        <v>127</v>
      </c>
      <c r="AA368" s="999">
        <f t="shared" si="1208"/>
        <v>445</v>
      </c>
      <c r="AB368" s="57">
        <f t="shared" si="1208"/>
        <v>-134</v>
      </c>
      <c r="AC368" s="57">
        <f t="shared" si="1208"/>
        <v>-25</v>
      </c>
      <c r="AD368" s="57">
        <f t="shared" si="1208"/>
        <v>176</v>
      </c>
      <c r="AE368" s="57">
        <f t="shared" si="1208"/>
        <v>-894</v>
      </c>
      <c r="AF368" s="999">
        <f t="shared" si="1208"/>
        <v>-877</v>
      </c>
      <c r="AG368" s="57">
        <f t="shared" si="1208"/>
        <v>662</v>
      </c>
      <c r="AH368" s="57">
        <f t="shared" si="1208"/>
        <v>324</v>
      </c>
      <c r="AI368" s="57">
        <f t="shared" si="1208"/>
        <v>197</v>
      </c>
      <c r="AJ368" s="57">
        <f t="shared" si="1208"/>
        <v>702</v>
      </c>
      <c r="AK368" s="999">
        <f t="shared" si="1208"/>
        <v>1885</v>
      </c>
      <c r="AL368" s="57">
        <f t="shared" si="1208"/>
        <v>-162</v>
      </c>
      <c r="AM368" s="57">
        <f>AM617</f>
        <v>440</v>
      </c>
      <c r="AN368" s="57">
        <f>AN617</f>
        <v>319</v>
      </c>
      <c r="AO368" s="57">
        <f t="shared" si="1209" ref="AO368:AP368">AO617</f>
        <v>490</v>
      </c>
      <c r="AP368" s="999">
        <f t="shared" si="1209"/>
        <v>1087</v>
      </c>
      <c r="AQ368" s="57">
        <f t="shared" si="1210" ref="AQ368:AV368">AQ617</f>
        <v>426</v>
      </c>
      <c r="AR368" s="57">
        <f t="shared" si="1210"/>
        <v>287</v>
      </c>
      <c r="AS368" s="57">
        <f t="shared" si="1210"/>
        <v>105</v>
      </c>
      <c r="AT368" s="57">
        <f t="shared" si="1210"/>
        <v>266</v>
      </c>
      <c r="AU368" s="999">
        <f t="shared" si="1210"/>
        <v>1084</v>
      </c>
      <c r="AV368" s="57">
        <f t="shared" si="1210"/>
        <v>-267</v>
      </c>
      <c r="AW368" s="57">
        <f t="shared" si="1211" ref="AW368:BB368">AW617</f>
        <v>-733</v>
      </c>
      <c r="AX368" s="57">
        <f t="shared" si="1211"/>
        <v>-167</v>
      </c>
      <c r="AY368" s="57">
        <f t="shared" si="1211"/>
        <v>95</v>
      </c>
      <c r="AZ368" s="999">
        <f t="shared" si="1211"/>
        <v>-1072</v>
      </c>
      <c r="BA368" s="57">
        <f t="shared" si="1211"/>
        <v>14</v>
      </c>
      <c r="BB368" s="57">
        <f t="shared" si="1211"/>
        <v>-151</v>
      </c>
      <c r="BC368" s="57">
        <f t="shared" si="1212" ref="BC368:BH368">BC617</f>
        <v>-86</v>
      </c>
      <c r="BD368" s="57">
        <f t="shared" si="1212"/>
        <v>-77</v>
      </c>
      <c r="BE368" s="999">
        <f t="shared" si="1212"/>
        <v>-300</v>
      </c>
      <c r="BF368" s="57">
        <f t="shared" si="1212"/>
        <v>-164</v>
      </c>
      <c r="BG368" s="57">
        <f t="shared" si="1212"/>
        <v>-103</v>
      </c>
      <c r="BH368" s="745">
        <f t="shared" si="1212"/>
        <v>243</v>
      </c>
      <c r="BI368" s="128">
        <f>BI195+BI234+BI537+BI273+BI576+BI310</f>
        <v>57</v>
      </c>
      <c r="BJ368" s="1000">
        <f>SUM(BF368,BG368,BH368,BI368)</f>
        <v>33</v>
      </c>
      <c r="BK368" s="128">
        <f>BK195+BK234+BK537+BK273+BK576+BK310</f>
        <v>57</v>
      </c>
      <c r="BL368" s="128">
        <f>BL195+BL234+BL537+BL273+BL576+BL310</f>
        <v>57</v>
      </c>
      <c r="BM368" s="128">
        <f>BM195+BM234+BM537+BM273+BM576+BM310</f>
        <v>57</v>
      </c>
      <c r="BN368" s="128">
        <f>BN195+BN234+BN537+BN273+BN576+BN310</f>
        <v>57</v>
      </c>
      <c r="BO368" s="1000">
        <f>SUM(BK368,BL368,BM368,BN368)</f>
        <v>228</v>
      </c>
      <c r="BP368" s="1000">
        <f>BP195+BP234+BP537+BP273+BP576+BP310</f>
        <v>228</v>
      </c>
      <c r="BQ368" s="1000">
        <f>BQ195+BQ234+BQ537+BQ273+BQ576+BQ310</f>
        <v>228</v>
      </c>
      <c r="BR368" s="1000">
        <f>BR195+BR234+BR537+BR273+BR576+BR310</f>
        <v>228</v>
      </c>
      <c r="BS368" s="57"/>
    </row>
    <row r="369" spans="1:71" s="51" customFormat="1" ht="15">
      <c r="A369" s="220"/>
      <c r="B369" s="234"/>
      <c r="C369" s="1035"/>
      <c r="D369" s="1035"/>
      <c r="E369" s="1035"/>
      <c r="F369" s="1035"/>
      <c r="G369" s="1035"/>
      <c r="H369" s="221"/>
      <c r="I369" s="221"/>
      <c r="J369" s="221"/>
      <c r="K369" s="221"/>
      <c r="L369" s="1035"/>
      <c r="M369" s="221"/>
      <c r="N369" s="221"/>
      <c r="O369" s="221"/>
      <c r="P369" s="221"/>
      <c r="Q369" s="1035"/>
      <c r="R369" s="221"/>
      <c r="S369" s="221"/>
      <c r="T369" s="221"/>
      <c r="U369" s="221"/>
      <c r="V369" s="1035"/>
      <c r="W369" s="221"/>
      <c r="X369" s="221"/>
      <c r="Y369" s="221"/>
      <c r="Z369" s="221"/>
      <c r="AA369" s="1035"/>
      <c r="AB369" s="221"/>
      <c r="AC369" s="221"/>
      <c r="AD369" s="221"/>
      <c r="AE369" s="221"/>
      <c r="AF369" s="1035"/>
      <c r="AG369" s="221"/>
      <c r="AH369" s="221"/>
      <c r="AI369" s="221"/>
      <c r="AJ369" s="221"/>
      <c r="AK369" s="1035"/>
      <c r="AL369" s="221"/>
      <c r="AM369" s="221"/>
      <c r="AN369" s="221"/>
      <c r="AO369" s="221"/>
      <c r="AP369" s="1035"/>
      <c r="AQ369" s="221"/>
      <c r="AR369" s="221"/>
      <c r="AS369" s="221"/>
      <c r="AT369" s="221"/>
      <c r="AU369" s="1035"/>
      <c r="AV369" s="221"/>
      <c r="AW369" s="221"/>
      <c r="AX369" s="221"/>
      <c r="AY369" s="221"/>
      <c r="AZ369" s="1035"/>
      <c r="BA369" s="221"/>
      <c r="BB369" s="221"/>
      <c r="BC369" s="221"/>
      <c r="BD369" s="221"/>
      <c r="BE369" s="1035"/>
      <c r="BF369" s="221"/>
      <c r="BG369" s="221"/>
      <c r="BH369" s="757"/>
      <c r="BI369" s="221"/>
      <c r="BJ369" s="1035"/>
      <c r="BK369" s="221"/>
      <c r="BL369" s="221"/>
      <c r="BM369" s="221"/>
      <c r="BN369" s="221"/>
      <c r="BO369" s="1035"/>
      <c r="BP369" s="1035"/>
      <c r="BQ369" s="1035"/>
      <c r="BR369" s="1035"/>
      <c r="BS369" s="57"/>
    </row>
    <row r="370" spans="1:71" s="17" customFormat="1" ht="15">
      <c r="A370" s="818" t="s">
        <v>710</v>
      </c>
      <c r="B370" s="818"/>
      <c r="C370" s="837"/>
      <c r="D370" s="837"/>
      <c r="E370" s="837"/>
      <c r="F370" s="837"/>
      <c r="G370" s="837"/>
      <c r="H370" s="837"/>
      <c r="I370" s="837"/>
      <c r="J370" s="837"/>
      <c r="K370" s="837"/>
      <c r="L370" s="837"/>
      <c r="M370" s="837"/>
      <c r="N370" s="837"/>
      <c r="O370" s="837"/>
      <c r="P370" s="837"/>
      <c r="Q370" s="837"/>
      <c r="R370" s="837"/>
      <c r="S370" s="837"/>
      <c r="T370" s="837"/>
      <c r="U370" s="837"/>
      <c r="V370" s="837"/>
      <c r="W370" s="837"/>
      <c r="X370" s="837"/>
      <c r="Y370" s="837"/>
      <c r="Z370" s="837"/>
      <c r="AA370" s="837"/>
      <c r="AB370" s="837"/>
      <c r="AC370" s="837"/>
      <c r="AD370" s="837"/>
      <c r="AE370" s="837"/>
      <c r="AF370" s="837"/>
      <c r="AG370" s="837"/>
      <c r="AH370" s="837"/>
      <c r="AI370" s="837"/>
      <c r="AJ370" s="837"/>
      <c r="AK370" s="837"/>
      <c r="AL370" s="837"/>
      <c r="AM370" s="837"/>
      <c r="AN370" s="837"/>
      <c r="AO370" s="837"/>
      <c r="AP370" s="837"/>
      <c r="AQ370" s="837"/>
      <c r="AR370" s="837"/>
      <c r="AS370" s="837"/>
      <c r="AT370" s="837"/>
      <c r="AU370" s="837"/>
      <c r="AV370" s="837"/>
      <c r="AW370" s="837"/>
      <c r="AX370" s="837"/>
      <c r="AY370" s="837"/>
      <c r="AZ370" s="837"/>
      <c r="BA370" s="837"/>
      <c r="BB370" s="837"/>
      <c r="BC370" s="837"/>
      <c r="BD370" s="837"/>
      <c r="BE370" s="837"/>
      <c r="BF370" s="837"/>
      <c r="BG370" s="837"/>
      <c r="BH370" s="838"/>
      <c r="BI370" s="837"/>
      <c r="BJ370" s="837"/>
      <c r="BK370" s="837"/>
      <c r="BL370" s="837"/>
      <c r="BM370" s="837"/>
      <c r="BN370" s="837"/>
      <c r="BO370" s="837"/>
      <c r="BP370" s="837"/>
      <c r="BQ370" s="837"/>
      <c r="BR370" s="837"/>
      <c r="BS370" s="457"/>
    </row>
    <row r="371" spans="1:71" s="300" customFormat="1" ht="15" hidden="1" outlineLevel="1">
      <c r="A371" s="225" t="s">
        <v>310</v>
      </c>
      <c r="B371" s="123"/>
      <c r="C371" s="980"/>
      <c r="D371" s="980"/>
      <c r="E371" s="980"/>
      <c r="F371" s="982">
        <v>16398</v>
      </c>
      <c r="G371" s="982">
        <v>16752</v>
      </c>
      <c r="H371" s="931">
        <v>4292</v>
      </c>
      <c r="I371" s="931">
        <v>4375</v>
      </c>
      <c r="J371" s="931">
        <v>4490</v>
      </c>
      <c r="K371" s="931">
        <v>4347</v>
      </c>
      <c r="L371" s="981">
        <f>SUM(H371,I371,J371,K371)</f>
        <v>17504</v>
      </c>
      <c r="M371" s="931">
        <v>4535</v>
      </c>
      <c r="N371" s="931">
        <v>4588</v>
      </c>
      <c r="O371" s="931">
        <v>4746</v>
      </c>
      <c r="P371" s="931">
        <v>4576</v>
      </c>
      <c r="Q371" s="981">
        <f>SUM(M371,N371,O371,P371)</f>
        <v>18445</v>
      </c>
      <c r="R371" s="931">
        <v>4746</v>
      </c>
      <c r="S371" s="931">
        <v>4767</v>
      </c>
      <c r="T371" s="931">
        <v>4940</v>
      </c>
      <c r="U371" s="931">
        <v>4756</v>
      </c>
      <c r="V371" s="981">
        <f>SUM(R371,S371,T371,U371)</f>
        <v>19209</v>
      </c>
      <c r="W371" s="931">
        <v>4882</v>
      </c>
      <c r="X371" s="931">
        <v>4925</v>
      </c>
      <c r="Y371" s="931">
        <v>5096</v>
      </c>
      <c r="Z371" s="931">
        <v>4956</v>
      </c>
      <c r="AA371" s="981">
        <f>SUM(W371,X371,Y371,Z371)</f>
        <v>19859</v>
      </c>
      <c r="AB371" s="931">
        <v>5151</v>
      </c>
      <c r="AC371" s="931">
        <v>5211</v>
      </c>
      <c r="AD371" s="931">
        <v>5357</v>
      </c>
      <c r="AE371" s="931">
        <v>5272</v>
      </c>
      <c r="AF371" s="981">
        <f>SUM(AB371,AC371,AD371,AE371)</f>
        <v>20991</v>
      </c>
      <c r="AG371" s="931">
        <v>5395</v>
      </c>
      <c r="AH371" s="931">
        <v>5472</v>
      </c>
      <c r="AI371" s="931">
        <v>5599</v>
      </c>
      <c r="AJ371" s="931">
        <v>5470</v>
      </c>
      <c r="AK371" s="981">
        <f>SUM(AG371,AH371,AI371,AJ371)</f>
        <v>21936</v>
      </c>
      <c r="AL371" s="931">
        <v>5574</v>
      </c>
      <c r="AM371" s="931">
        <v>5572</v>
      </c>
      <c r="AN371" s="931">
        <v>6192</v>
      </c>
      <c r="AO371" s="467"/>
      <c r="AP371" s="980"/>
      <c r="AQ371" s="467"/>
      <c r="AR371" s="467"/>
      <c r="AS371" s="467"/>
      <c r="AT371" s="467"/>
      <c r="AU371" s="980"/>
      <c r="AV371" s="467"/>
      <c r="AW371" s="467"/>
      <c r="AX371" s="467"/>
      <c r="AY371" s="467"/>
      <c r="AZ371" s="980"/>
      <c r="BA371" s="467"/>
      <c r="BB371" s="467"/>
      <c r="BC371" s="467"/>
      <c r="BD371" s="467"/>
      <c r="BE371" s="980"/>
      <c r="BF371" s="467"/>
      <c r="BG371" s="467"/>
      <c r="BH371" s="759"/>
      <c r="BI371" s="92"/>
      <c r="BJ371" s="989"/>
      <c r="BK371" s="92"/>
      <c r="BL371" s="92"/>
      <c r="BM371" s="92"/>
      <c r="BN371" s="92"/>
      <c r="BO371" s="989"/>
      <c r="BP371" s="989"/>
      <c r="BQ371" s="989"/>
      <c r="BR371" s="989"/>
      <c r="BS371" s="305"/>
    </row>
    <row r="372" spans="1:71" s="300" customFormat="1" ht="15" hidden="1" outlineLevel="1">
      <c r="A372" s="225" t="s">
        <v>311</v>
      </c>
      <c r="B372" s="123"/>
      <c r="C372" s="980"/>
      <c r="D372" s="980"/>
      <c r="E372" s="980"/>
      <c r="F372" s="982">
        <v>6060</v>
      </c>
      <c r="G372" s="982">
        <v>6289</v>
      </c>
      <c r="H372" s="931">
        <v>1342</v>
      </c>
      <c r="I372" s="931">
        <v>1765</v>
      </c>
      <c r="J372" s="931">
        <v>1831</v>
      </c>
      <c r="K372" s="931">
        <v>1598</v>
      </c>
      <c r="L372" s="981">
        <f>SUM(H372,I372,J372,K372)</f>
        <v>6536</v>
      </c>
      <c r="M372" s="931">
        <v>1379</v>
      </c>
      <c r="N372" s="931">
        <v>1819</v>
      </c>
      <c r="O372" s="931">
        <v>1879</v>
      </c>
      <c r="P372" s="931">
        <v>1634</v>
      </c>
      <c r="Q372" s="981">
        <f>SUM(M372,N372,O372,P372)</f>
        <v>6711</v>
      </c>
      <c r="R372" s="931">
        <v>1392</v>
      </c>
      <c r="S372" s="931">
        <v>1831</v>
      </c>
      <c r="T372" s="931">
        <v>1869</v>
      </c>
      <c r="U372" s="931">
        <v>1638</v>
      </c>
      <c r="V372" s="981">
        <f>SUM(R372,S372,T372,U372)</f>
        <v>6730</v>
      </c>
      <c r="W372" s="931">
        <v>1403</v>
      </c>
      <c r="X372" s="931">
        <v>1847</v>
      </c>
      <c r="Y372" s="931">
        <v>1921</v>
      </c>
      <c r="Z372" s="931">
        <v>1694</v>
      </c>
      <c r="AA372" s="981">
        <f>SUM(W372,X372,Y372,Z372)</f>
        <v>6865</v>
      </c>
      <c r="AB372" s="931">
        <v>1465</v>
      </c>
      <c r="AC372" s="931">
        <v>1949</v>
      </c>
      <c r="AD372" s="931">
        <v>2008</v>
      </c>
      <c r="AE372" s="931">
        <v>1777</v>
      </c>
      <c r="AF372" s="981">
        <f>SUM(AB372,AC372,AD372,AE372)</f>
        <v>7199</v>
      </c>
      <c r="AG372" s="931">
        <v>1565</v>
      </c>
      <c r="AH372" s="931">
        <v>2076</v>
      </c>
      <c r="AI372" s="931">
        <v>2143</v>
      </c>
      <c r="AJ372" s="931">
        <v>1861</v>
      </c>
      <c r="AK372" s="981">
        <f>SUM(AG372,AH372,AI372,AJ372)</f>
        <v>7645</v>
      </c>
      <c r="AL372" s="931">
        <v>1618</v>
      </c>
      <c r="AM372" s="931">
        <v>2144</v>
      </c>
      <c r="AN372" s="931">
        <v>2234</v>
      </c>
      <c r="AO372" s="467"/>
      <c r="AP372" s="980"/>
      <c r="AQ372" s="467"/>
      <c r="AR372" s="467"/>
      <c r="AS372" s="467"/>
      <c r="AT372" s="467"/>
      <c r="AU372" s="980"/>
      <c r="AV372" s="467"/>
      <c r="AW372" s="467"/>
      <c r="AX372" s="467"/>
      <c r="AY372" s="467"/>
      <c r="AZ372" s="980"/>
      <c r="BA372" s="467"/>
      <c r="BB372" s="467"/>
      <c r="BC372" s="467"/>
      <c r="BD372" s="467"/>
      <c r="BE372" s="980"/>
      <c r="BF372" s="467"/>
      <c r="BG372" s="467"/>
      <c r="BH372" s="759"/>
      <c r="BI372" s="92"/>
      <c r="BJ372" s="989"/>
      <c r="BK372" s="92"/>
      <c r="BL372" s="92"/>
      <c r="BM372" s="92"/>
      <c r="BN372" s="92"/>
      <c r="BO372" s="989"/>
      <c r="BP372" s="989"/>
      <c r="BQ372" s="989"/>
      <c r="BR372" s="989"/>
      <c r="BS372" s="305"/>
    </row>
    <row r="373" spans="1:71" s="300" customFormat="1" ht="15" hidden="1" outlineLevel="1">
      <c r="A373" s="225" t="s">
        <v>312</v>
      </c>
      <c r="B373" s="123"/>
      <c r="C373" s="980"/>
      <c r="D373" s="980"/>
      <c r="E373" s="980"/>
      <c r="F373" s="982">
        <v>1515</v>
      </c>
      <c r="G373" s="982">
        <v>1539</v>
      </c>
      <c r="H373" s="931">
        <v>351</v>
      </c>
      <c r="I373" s="931">
        <v>416</v>
      </c>
      <c r="J373" s="931">
        <v>426</v>
      </c>
      <c r="K373" s="931">
        <v>376</v>
      </c>
      <c r="L373" s="981">
        <f>SUM(H373,I373,J373,K373)</f>
        <v>1569</v>
      </c>
      <c r="M373" s="931">
        <v>357</v>
      </c>
      <c r="N373" s="931">
        <v>424</v>
      </c>
      <c r="O373" s="931">
        <v>429</v>
      </c>
      <c r="P373" s="931">
        <v>376</v>
      </c>
      <c r="Q373" s="981">
        <f>SUM(M373,N373,O373,P373)</f>
        <v>1586</v>
      </c>
      <c r="R373" s="931">
        <v>353</v>
      </c>
      <c r="S373" s="931">
        <v>428</v>
      </c>
      <c r="T373" s="931">
        <v>447</v>
      </c>
      <c r="U373" s="931">
        <v>393</v>
      </c>
      <c r="V373" s="981">
        <f>SUM(R373,S373,T373,U373)</f>
        <v>1621</v>
      </c>
      <c r="W373" s="931">
        <v>368</v>
      </c>
      <c r="X373" s="931">
        <v>441</v>
      </c>
      <c r="Y373" s="931">
        <v>454</v>
      </c>
      <c r="Z373" s="931">
        <v>410</v>
      </c>
      <c r="AA373" s="981">
        <f>SUM(W373,X373,Y373,Z373)</f>
        <v>1673</v>
      </c>
      <c r="AB373" s="931">
        <v>375</v>
      </c>
      <c r="AC373" s="931">
        <v>475</v>
      </c>
      <c r="AD373" s="931">
        <v>472</v>
      </c>
      <c r="AE373" s="931">
        <v>420</v>
      </c>
      <c r="AF373" s="981">
        <f>SUM(AB373,AC373,AD373,AE373)</f>
        <v>1742</v>
      </c>
      <c r="AG373" s="931">
        <v>399</v>
      </c>
      <c r="AH373" s="931">
        <v>478</v>
      </c>
      <c r="AI373" s="931">
        <v>492</v>
      </c>
      <c r="AJ373" s="931">
        <v>434</v>
      </c>
      <c r="AK373" s="981">
        <f>SUM(AG373,AH373,AI373,AJ373)</f>
        <v>1803</v>
      </c>
      <c r="AL373" s="931">
        <v>411</v>
      </c>
      <c r="AM373" s="931">
        <v>505</v>
      </c>
      <c r="AN373" s="931">
        <v>521</v>
      </c>
      <c r="AO373" s="467"/>
      <c r="AP373" s="980"/>
      <c r="AQ373" s="467"/>
      <c r="AR373" s="467"/>
      <c r="AS373" s="467"/>
      <c r="AT373" s="467"/>
      <c r="AU373" s="980"/>
      <c r="AV373" s="467"/>
      <c r="AW373" s="467"/>
      <c r="AX373" s="467"/>
      <c r="AY373" s="467"/>
      <c r="AZ373" s="980"/>
      <c r="BA373" s="467"/>
      <c r="BB373" s="467"/>
      <c r="BC373" s="467"/>
      <c r="BD373" s="467"/>
      <c r="BE373" s="980"/>
      <c r="BF373" s="467"/>
      <c r="BG373" s="467"/>
      <c r="BH373" s="759"/>
      <c r="BI373" s="92"/>
      <c r="BJ373" s="989"/>
      <c r="BK373" s="92"/>
      <c r="BL373" s="92"/>
      <c r="BM373" s="92"/>
      <c r="BN373" s="92"/>
      <c r="BO373" s="989"/>
      <c r="BP373" s="989"/>
      <c r="BQ373" s="989"/>
      <c r="BR373" s="989"/>
      <c r="BS373" s="305"/>
    </row>
    <row r="374" spans="1:71" s="300" customFormat="1" ht="15" hidden="1" outlineLevel="1">
      <c r="A374" s="225" t="s">
        <v>313</v>
      </c>
      <c r="B374" s="123"/>
      <c r="C374" s="980"/>
      <c r="D374" s="980"/>
      <c r="E374" s="980"/>
      <c r="F374" s="982">
        <v>454</v>
      </c>
      <c r="G374" s="982">
        <v>466</v>
      </c>
      <c r="H374" s="931">
        <v>116</v>
      </c>
      <c r="I374" s="931">
        <v>130</v>
      </c>
      <c r="J374" s="931">
        <v>122</v>
      </c>
      <c r="K374" s="931">
        <v>126</v>
      </c>
      <c r="L374" s="981">
        <f>SUM(H374,I374,J374,K374)</f>
        <v>494</v>
      </c>
      <c r="M374" s="931">
        <v>128</v>
      </c>
      <c r="N374" s="931">
        <v>138</v>
      </c>
      <c r="O374" s="931">
        <v>124</v>
      </c>
      <c r="P374" s="931">
        <v>126</v>
      </c>
      <c r="Q374" s="981">
        <f>SUM(M374,N374,O374,P374)</f>
        <v>516</v>
      </c>
      <c r="R374" s="931">
        <v>126</v>
      </c>
      <c r="S374" s="931">
        <v>135</v>
      </c>
      <c r="T374" s="931">
        <v>123</v>
      </c>
      <c r="U374" s="931">
        <v>115</v>
      </c>
      <c r="V374" s="981">
        <f>SUM(R374,S374,T374,U374)</f>
        <v>499</v>
      </c>
      <c r="W374" s="931">
        <v>123</v>
      </c>
      <c r="X374" s="931">
        <v>124</v>
      </c>
      <c r="Y374" s="931">
        <v>116</v>
      </c>
      <c r="Z374" s="931">
        <v>125</v>
      </c>
      <c r="AA374" s="981">
        <f>SUM(W374,X374,Y374,Z374)</f>
        <v>488</v>
      </c>
      <c r="AB374" s="931">
        <v>137</v>
      </c>
      <c r="AC374" s="931">
        <v>172</v>
      </c>
      <c r="AD374" s="931">
        <v>173</v>
      </c>
      <c r="AE374" s="931">
        <v>177</v>
      </c>
      <c r="AF374" s="981">
        <f>SUM(AB374,AC374,AD374,AE374)</f>
        <v>659</v>
      </c>
      <c r="AG374" s="931">
        <v>185</v>
      </c>
      <c r="AH374" s="931">
        <v>236</v>
      </c>
      <c r="AI374" s="931">
        <v>238</v>
      </c>
      <c r="AJ374" s="931">
        <v>243</v>
      </c>
      <c r="AK374" s="981">
        <f>SUM(AG374,AH374,AI374,AJ374)</f>
        <v>902</v>
      </c>
      <c r="AL374" s="931">
        <v>221</v>
      </c>
      <c r="AM374" s="931">
        <v>170</v>
      </c>
      <c r="AN374" s="931">
        <v>188</v>
      </c>
      <c r="AO374" s="467"/>
      <c r="AP374" s="980"/>
      <c r="AQ374" s="467"/>
      <c r="AR374" s="467"/>
      <c r="AS374" s="467"/>
      <c r="AT374" s="467"/>
      <c r="AU374" s="980"/>
      <c r="AV374" s="467"/>
      <c r="AW374" s="467"/>
      <c r="AX374" s="467"/>
      <c r="AY374" s="467"/>
      <c r="AZ374" s="980"/>
      <c r="BA374" s="467"/>
      <c r="BB374" s="467"/>
      <c r="BC374" s="467"/>
      <c r="BD374" s="467"/>
      <c r="BE374" s="980"/>
      <c r="BF374" s="467"/>
      <c r="BG374" s="467"/>
      <c r="BH374" s="759"/>
      <c r="BI374" s="92"/>
      <c r="BJ374" s="989"/>
      <c r="BK374" s="92"/>
      <c r="BL374" s="92"/>
      <c r="BM374" s="92"/>
      <c r="BN374" s="92"/>
      <c r="BO374" s="989"/>
      <c r="BP374" s="989"/>
      <c r="BQ374" s="989"/>
      <c r="BR374" s="989"/>
      <c r="BS374" s="305"/>
    </row>
    <row r="375" spans="1:71" s="300" customFormat="1" ht="15" hidden="1" outlineLevel="1">
      <c r="A375" s="165" t="s">
        <v>327</v>
      </c>
      <c r="B375" s="126"/>
      <c r="C375" s="983"/>
      <c r="D375" s="983"/>
      <c r="E375" s="983"/>
      <c r="F375" s="984">
        <v>462</v>
      </c>
      <c r="G375" s="984">
        <v>602</v>
      </c>
      <c r="H375" s="893">
        <v>176</v>
      </c>
      <c r="I375" s="893">
        <v>180</v>
      </c>
      <c r="J375" s="893">
        <v>185</v>
      </c>
      <c r="K375" s="893">
        <v>176</v>
      </c>
      <c r="L375" s="985">
        <f>SUM(H375,I375,J375,K375)</f>
        <v>717</v>
      </c>
      <c r="M375" s="893">
        <v>184</v>
      </c>
      <c r="N375" s="893">
        <v>199</v>
      </c>
      <c r="O375" s="893">
        <v>205</v>
      </c>
      <c r="P375" s="893">
        <v>168</v>
      </c>
      <c r="Q375" s="985">
        <f>SUM(M375,N375,O375,P375)</f>
        <v>756</v>
      </c>
      <c r="R375" s="893">
        <v>183</v>
      </c>
      <c r="S375" s="893">
        <v>183</v>
      </c>
      <c r="T375" s="893">
        <v>185</v>
      </c>
      <c r="U375" s="893">
        <v>158</v>
      </c>
      <c r="V375" s="985">
        <f>SUM(R375,S375,T375,U375)</f>
        <v>709</v>
      </c>
      <c r="W375" s="468"/>
      <c r="X375" s="468"/>
      <c r="Y375" s="468"/>
      <c r="Z375" s="468"/>
      <c r="AA375" s="983"/>
      <c r="AB375" s="468"/>
      <c r="AC375" s="468"/>
      <c r="AD375" s="468"/>
      <c r="AE375" s="468"/>
      <c r="AF375" s="983"/>
      <c r="AG375" s="468"/>
      <c r="AH375" s="468"/>
      <c r="AI375" s="468"/>
      <c r="AJ375" s="468"/>
      <c r="AK375" s="983"/>
      <c r="AL375" s="468"/>
      <c r="AM375" s="468"/>
      <c r="AN375" s="468"/>
      <c r="AO375" s="468"/>
      <c r="AP375" s="983"/>
      <c r="AQ375" s="468"/>
      <c r="AR375" s="468"/>
      <c r="AS375" s="468"/>
      <c r="AT375" s="468"/>
      <c r="AU375" s="983"/>
      <c r="AV375" s="468"/>
      <c r="AW375" s="468"/>
      <c r="AX375" s="468"/>
      <c r="AY375" s="468"/>
      <c r="AZ375" s="983"/>
      <c r="BA375" s="468"/>
      <c r="BB375" s="468"/>
      <c r="BC375" s="468"/>
      <c r="BD375" s="468"/>
      <c r="BE375" s="983"/>
      <c r="BF375" s="468"/>
      <c r="BG375" s="468"/>
      <c r="BH375" s="760"/>
      <c r="BI375" s="115"/>
      <c r="BJ375" s="995"/>
      <c r="BK375" s="115"/>
      <c r="BL375" s="115"/>
      <c r="BM375" s="115"/>
      <c r="BN375" s="115"/>
      <c r="BO375" s="995"/>
      <c r="BP375" s="995"/>
      <c r="BQ375" s="995"/>
      <c r="BR375" s="995"/>
      <c r="BS375" s="305"/>
    </row>
    <row r="376" spans="1:71" s="300" customFormat="1" ht="15" hidden="1" outlineLevel="1">
      <c r="A376" s="106" t="s">
        <v>320</v>
      </c>
      <c r="B376" s="123"/>
      <c r="C376" s="981">
        <f t="shared" si="1213" ref="C376:AK376">SUM(C371:C375)</f>
        <v>0</v>
      </c>
      <c r="D376" s="981">
        <f t="shared" si="1213"/>
        <v>0</v>
      </c>
      <c r="E376" s="981">
        <f t="shared" si="1213"/>
        <v>0</v>
      </c>
      <c r="F376" s="981">
        <f t="shared" si="1213"/>
        <v>24889</v>
      </c>
      <c r="G376" s="981">
        <f t="shared" si="1213"/>
        <v>25648</v>
      </c>
      <c r="H376" s="386">
        <f t="shared" si="1213"/>
        <v>6277</v>
      </c>
      <c r="I376" s="386">
        <f t="shared" si="1213"/>
        <v>6866</v>
      </c>
      <c r="J376" s="386">
        <f t="shared" si="1213"/>
        <v>7054</v>
      </c>
      <c r="K376" s="386">
        <f t="shared" si="1213"/>
        <v>6623</v>
      </c>
      <c r="L376" s="981">
        <f t="shared" si="1213"/>
        <v>26820</v>
      </c>
      <c r="M376" s="386">
        <f t="shared" si="1213"/>
        <v>6583</v>
      </c>
      <c r="N376" s="386">
        <f t="shared" si="1213"/>
        <v>7168</v>
      </c>
      <c r="O376" s="386">
        <f t="shared" si="1213"/>
        <v>7383</v>
      </c>
      <c r="P376" s="386">
        <f t="shared" si="1213"/>
        <v>6880</v>
      </c>
      <c r="Q376" s="981">
        <f t="shared" si="1213"/>
        <v>28014</v>
      </c>
      <c r="R376" s="386">
        <f t="shared" si="1213"/>
        <v>6800</v>
      </c>
      <c r="S376" s="386">
        <f t="shared" si="1213"/>
        <v>7344</v>
      </c>
      <c r="T376" s="386">
        <f t="shared" si="1213"/>
        <v>7564</v>
      </c>
      <c r="U376" s="386">
        <f t="shared" si="1213"/>
        <v>7060</v>
      </c>
      <c r="V376" s="981">
        <f t="shared" si="1213"/>
        <v>28768</v>
      </c>
      <c r="W376" s="386">
        <f t="shared" si="1213"/>
        <v>6776</v>
      </c>
      <c r="X376" s="386">
        <f t="shared" si="1213"/>
        <v>7337</v>
      </c>
      <c r="Y376" s="386">
        <f t="shared" si="1213"/>
        <v>7587</v>
      </c>
      <c r="Z376" s="386">
        <f t="shared" si="1213"/>
        <v>7185</v>
      </c>
      <c r="AA376" s="981">
        <f t="shared" si="1213"/>
        <v>28885</v>
      </c>
      <c r="AB376" s="386">
        <f t="shared" si="1213"/>
        <v>7128</v>
      </c>
      <c r="AC376" s="386">
        <f t="shared" si="1213"/>
        <v>7807</v>
      </c>
      <c r="AD376" s="386">
        <f t="shared" si="1213"/>
        <v>8010</v>
      </c>
      <c r="AE376" s="386">
        <f t="shared" si="1213"/>
        <v>7646</v>
      </c>
      <c r="AF376" s="981">
        <f t="shared" si="1213"/>
        <v>30591</v>
      </c>
      <c r="AG376" s="386">
        <f t="shared" si="1213"/>
        <v>7544</v>
      </c>
      <c r="AH376" s="386">
        <f t="shared" si="1213"/>
        <v>8262</v>
      </c>
      <c r="AI376" s="386">
        <f t="shared" si="1213"/>
        <v>8472</v>
      </c>
      <c r="AJ376" s="386">
        <f t="shared" si="1213"/>
        <v>8008</v>
      </c>
      <c r="AK376" s="981">
        <f t="shared" si="1213"/>
        <v>32286</v>
      </c>
      <c r="AL376" s="386">
        <f>SUM(AL371:AL375)</f>
        <v>7824</v>
      </c>
      <c r="AM376" s="386">
        <f>SUM(AM371:AM375)</f>
        <v>8391</v>
      </c>
      <c r="AN376" s="386">
        <f>SUM(AN371:AN375)</f>
        <v>9135</v>
      </c>
      <c r="AO376" s="467"/>
      <c r="AP376" s="980"/>
      <c r="AQ376" s="467"/>
      <c r="AR376" s="467"/>
      <c r="AS376" s="467"/>
      <c r="AT376" s="467"/>
      <c r="AU376" s="980"/>
      <c r="AV376" s="467"/>
      <c r="AW376" s="467"/>
      <c r="AX376" s="467"/>
      <c r="AY376" s="467"/>
      <c r="AZ376" s="980"/>
      <c r="BA376" s="467"/>
      <c r="BB376" s="467"/>
      <c r="BC376" s="467"/>
      <c r="BD376" s="467"/>
      <c r="BE376" s="980"/>
      <c r="BF376" s="467"/>
      <c r="BG376" s="467"/>
      <c r="BH376" s="759"/>
      <c r="BI376" s="92"/>
      <c r="BJ376" s="989"/>
      <c r="BK376" s="92"/>
      <c r="BL376" s="92"/>
      <c r="BM376" s="92"/>
      <c r="BN376" s="92"/>
      <c r="BO376" s="989"/>
      <c r="BP376" s="989"/>
      <c r="BQ376" s="989"/>
      <c r="BR376" s="989"/>
      <c r="BS376" s="305"/>
    </row>
    <row r="377" spans="1:71" s="300" customFormat="1" ht="15" hidden="1" outlineLevel="1">
      <c r="A377" s="225" t="s">
        <v>314</v>
      </c>
      <c r="B377" s="123"/>
      <c r="C377" s="980"/>
      <c r="D377" s="980"/>
      <c r="E377" s="980"/>
      <c r="F377" s="982">
        <v>1024</v>
      </c>
      <c r="G377" s="982">
        <v>1308</v>
      </c>
      <c r="H377" s="931">
        <v>404</v>
      </c>
      <c r="I377" s="931">
        <v>338</v>
      </c>
      <c r="J377" s="931">
        <v>403</v>
      </c>
      <c r="K377" s="931">
        <v>354</v>
      </c>
      <c r="L377" s="981">
        <f>SUM(H377,I377,J377,K377)</f>
        <v>1499</v>
      </c>
      <c r="M377" s="931">
        <v>434</v>
      </c>
      <c r="N377" s="931">
        <v>363</v>
      </c>
      <c r="O377" s="931">
        <v>411</v>
      </c>
      <c r="P377" s="931">
        <v>368</v>
      </c>
      <c r="Q377" s="981">
        <f>SUM(M377,N377,O377,P377)</f>
        <v>1576</v>
      </c>
      <c r="R377" s="931">
        <v>439</v>
      </c>
      <c r="S377" s="931">
        <v>376</v>
      </c>
      <c r="T377" s="931">
        <v>428</v>
      </c>
      <c r="U377" s="931">
        <v>382</v>
      </c>
      <c r="V377" s="981">
        <f>SUM(R377,S377,T377,U377)</f>
        <v>1625</v>
      </c>
      <c r="W377" s="931">
        <v>439</v>
      </c>
      <c r="X377" s="931">
        <v>386</v>
      </c>
      <c r="Y377" s="931">
        <v>427</v>
      </c>
      <c r="Z377" s="931">
        <v>389</v>
      </c>
      <c r="AA377" s="981">
        <f>SUM(W377,X377,Y377,Z377)</f>
        <v>1641</v>
      </c>
      <c r="AB377" s="931">
        <v>470</v>
      </c>
      <c r="AC377" s="931">
        <v>430</v>
      </c>
      <c r="AD377" s="931">
        <v>487</v>
      </c>
      <c r="AE377" s="931">
        <v>452</v>
      </c>
      <c r="AF377" s="981">
        <f>SUM(AB377,AC377,AD377,AE377)</f>
        <v>1839</v>
      </c>
      <c r="AG377" s="931">
        <v>532</v>
      </c>
      <c r="AH377" s="931">
        <v>469</v>
      </c>
      <c r="AI377" s="931">
        <v>525</v>
      </c>
      <c r="AJ377" s="931">
        <v>460</v>
      </c>
      <c r="AK377" s="981">
        <f>SUM(AG377,AH377,AI377,AJ377)</f>
        <v>1986</v>
      </c>
      <c r="AL377" s="931">
        <v>517</v>
      </c>
      <c r="AM377" s="931">
        <v>482</v>
      </c>
      <c r="AN377" s="467"/>
      <c r="AO377" s="467"/>
      <c r="AP377" s="980"/>
      <c r="AQ377" s="467"/>
      <c r="AR377" s="467"/>
      <c r="AS377" s="467"/>
      <c r="AT377" s="467"/>
      <c r="AU377" s="980"/>
      <c r="AV377" s="467"/>
      <c r="AW377" s="467"/>
      <c r="AX377" s="467"/>
      <c r="AY377" s="467"/>
      <c r="AZ377" s="980"/>
      <c r="BA377" s="467"/>
      <c r="BB377" s="467"/>
      <c r="BC377" s="467"/>
      <c r="BD377" s="467"/>
      <c r="BE377" s="980"/>
      <c r="BF377" s="467"/>
      <c r="BG377" s="467"/>
      <c r="BH377" s="759"/>
      <c r="BI377" s="92"/>
      <c r="BJ377" s="989"/>
      <c r="BK377" s="92"/>
      <c r="BL377" s="92"/>
      <c r="BM377" s="92"/>
      <c r="BN377" s="92"/>
      <c r="BO377" s="989"/>
      <c r="BP377" s="989"/>
      <c r="BQ377" s="989"/>
      <c r="BR377" s="989"/>
      <c r="BS377" s="305"/>
    </row>
    <row r="378" spans="1:71" s="300" customFormat="1" ht="15" hidden="1" outlineLevel="1">
      <c r="A378" s="225" t="s">
        <v>315</v>
      </c>
      <c r="B378" s="123"/>
      <c r="C378" s="980"/>
      <c r="D378" s="980"/>
      <c r="E378" s="980"/>
      <c r="F378" s="982">
        <v>0</v>
      </c>
      <c r="G378" s="982">
        <v>0</v>
      </c>
      <c r="H378" s="931">
        <v>1</v>
      </c>
      <c r="I378" s="931">
        <v>1</v>
      </c>
      <c r="J378" s="931">
        <v>3</v>
      </c>
      <c r="K378" s="931">
        <v>4</v>
      </c>
      <c r="L378" s="981">
        <f>SUM(H378,I378,J378,K378)</f>
        <v>9</v>
      </c>
      <c r="M378" s="931">
        <v>5</v>
      </c>
      <c r="N378" s="931">
        <v>7</v>
      </c>
      <c r="O378" s="931">
        <v>9</v>
      </c>
      <c r="P378" s="931">
        <v>9</v>
      </c>
      <c r="Q378" s="981">
        <f>SUM(M378,N378,O378,P378)</f>
        <v>30</v>
      </c>
      <c r="R378" s="931">
        <v>11</v>
      </c>
      <c r="S378" s="931">
        <v>14</v>
      </c>
      <c r="T378" s="931">
        <v>16</v>
      </c>
      <c r="U378" s="931">
        <v>15</v>
      </c>
      <c r="V378" s="981">
        <f>SUM(R378,S378,T378,U378)</f>
        <v>56</v>
      </c>
      <c r="W378" s="931">
        <v>16</v>
      </c>
      <c r="X378" s="931">
        <v>20</v>
      </c>
      <c r="Y378" s="931">
        <v>24</v>
      </c>
      <c r="Z378" s="931">
        <v>19</v>
      </c>
      <c r="AA378" s="981">
        <f>SUM(W378,X378,Y378,Z378)</f>
        <v>79</v>
      </c>
      <c r="AB378" s="931">
        <v>21</v>
      </c>
      <c r="AC378" s="931">
        <v>27</v>
      </c>
      <c r="AD378" s="931">
        <v>30</v>
      </c>
      <c r="AE378" s="931">
        <v>23</v>
      </c>
      <c r="AF378" s="981">
        <f>SUM(AB378,AC378,AD378,AE378)</f>
        <v>101</v>
      </c>
      <c r="AG378" s="931">
        <v>25</v>
      </c>
      <c r="AH378" s="931">
        <v>32</v>
      </c>
      <c r="AI378" s="931">
        <v>35</v>
      </c>
      <c r="AJ378" s="931">
        <v>27</v>
      </c>
      <c r="AK378" s="981">
        <f>SUM(AG378,AH378,AI378,AJ378)</f>
        <v>119</v>
      </c>
      <c r="AL378" s="931">
        <v>27</v>
      </c>
      <c r="AM378" s="931">
        <v>34</v>
      </c>
      <c r="AN378" s="467"/>
      <c r="AO378" s="467"/>
      <c r="AP378" s="980"/>
      <c r="AQ378" s="467"/>
      <c r="AR378" s="467"/>
      <c r="AS378" s="467"/>
      <c r="AT378" s="467"/>
      <c r="AU378" s="980"/>
      <c r="AV378" s="467"/>
      <c r="AW378" s="467"/>
      <c r="AX378" s="467"/>
      <c r="AY378" s="467"/>
      <c r="AZ378" s="980"/>
      <c r="BA378" s="467"/>
      <c r="BB378" s="467"/>
      <c r="BC378" s="467"/>
      <c r="BD378" s="467"/>
      <c r="BE378" s="980"/>
      <c r="BF378" s="467"/>
      <c r="BG378" s="467"/>
      <c r="BH378" s="759"/>
      <c r="BI378" s="92"/>
      <c r="BJ378" s="989"/>
      <c r="BK378" s="92"/>
      <c r="BL378" s="92"/>
      <c r="BM378" s="92"/>
      <c r="BN378" s="92"/>
      <c r="BO378" s="989"/>
      <c r="BP378" s="989"/>
      <c r="BQ378" s="989"/>
      <c r="BR378" s="989"/>
      <c r="BS378" s="305"/>
    </row>
    <row r="379" spans="1:71" s="300" customFormat="1" ht="15" hidden="1" outlineLevel="1">
      <c r="A379" s="165" t="s">
        <v>316</v>
      </c>
      <c r="B379" s="126"/>
      <c r="C379" s="983"/>
      <c r="D379" s="983"/>
      <c r="E379" s="983"/>
      <c r="F379" s="984">
        <v>0</v>
      </c>
      <c r="G379" s="984">
        <v>2</v>
      </c>
      <c r="H379" s="893">
        <v>1</v>
      </c>
      <c r="I379" s="893">
        <v>1</v>
      </c>
      <c r="J379" s="893">
        <v>2</v>
      </c>
      <c r="K379" s="893">
        <v>1</v>
      </c>
      <c r="L379" s="985">
        <f>SUM(H379,I379,J379,K379)</f>
        <v>5</v>
      </c>
      <c r="M379" s="893">
        <v>2</v>
      </c>
      <c r="N379" s="893">
        <v>1</v>
      </c>
      <c r="O379" s="893">
        <v>3</v>
      </c>
      <c r="P379" s="893">
        <v>1</v>
      </c>
      <c r="Q379" s="985">
        <f>SUM(M379,N379,O379,P379)</f>
        <v>7</v>
      </c>
      <c r="R379" s="893">
        <v>2</v>
      </c>
      <c r="S379" s="893">
        <v>2</v>
      </c>
      <c r="T379" s="893">
        <v>2</v>
      </c>
      <c r="U379" s="893">
        <v>2</v>
      </c>
      <c r="V379" s="985">
        <f>SUM(R379,S379,T379,U379)</f>
        <v>8</v>
      </c>
      <c r="W379" s="893">
        <v>2</v>
      </c>
      <c r="X379" s="893">
        <v>2</v>
      </c>
      <c r="Y379" s="893">
        <v>2</v>
      </c>
      <c r="Z379" s="893">
        <v>2</v>
      </c>
      <c r="AA379" s="985">
        <f>SUM(W379,X379,Y379,Z379)</f>
        <v>8</v>
      </c>
      <c r="AB379" s="893">
        <v>2</v>
      </c>
      <c r="AC379" s="893">
        <v>2</v>
      </c>
      <c r="AD379" s="893">
        <v>2</v>
      </c>
      <c r="AE379" s="893">
        <v>2</v>
      </c>
      <c r="AF379" s="985">
        <f>SUM(AB379,AC379,AD379,AE379)</f>
        <v>8</v>
      </c>
      <c r="AG379" s="893">
        <v>2</v>
      </c>
      <c r="AH379" s="893">
        <v>2</v>
      </c>
      <c r="AI379" s="893">
        <v>2</v>
      </c>
      <c r="AJ379" s="893">
        <v>2</v>
      </c>
      <c r="AK379" s="985">
        <f>SUM(AG379,AH379,AI379,AJ379)</f>
        <v>8</v>
      </c>
      <c r="AL379" s="893">
        <v>2</v>
      </c>
      <c r="AM379" s="893">
        <v>2</v>
      </c>
      <c r="AN379" s="468"/>
      <c r="AO379" s="468"/>
      <c r="AP379" s="983"/>
      <c r="AQ379" s="468"/>
      <c r="AR379" s="468"/>
      <c r="AS379" s="468"/>
      <c r="AT379" s="468"/>
      <c r="AU379" s="983"/>
      <c r="AV379" s="468"/>
      <c r="AW379" s="468"/>
      <c r="AX379" s="468"/>
      <c r="AY379" s="468"/>
      <c r="AZ379" s="983"/>
      <c r="BA379" s="468"/>
      <c r="BB379" s="468"/>
      <c r="BC379" s="468"/>
      <c r="BD379" s="468"/>
      <c r="BE379" s="983"/>
      <c r="BF379" s="468"/>
      <c r="BG379" s="468"/>
      <c r="BH379" s="760"/>
      <c r="BI379" s="115"/>
      <c r="BJ379" s="995"/>
      <c r="BK379" s="115"/>
      <c r="BL379" s="115"/>
      <c r="BM379" s="115"/>
      <c r="BN379" s="115"/>
      <c r="BO379" s="995"/>
      <c r="BP379" s="995"/>
      <c r="BQ379" s="995"/>
      <c r="BR379" s="995"/>
      <c r="BS379" s="305"/>
    </row>
    <row r="380" spans="1:71" s="300" customFormat="1" ht="15" hidden="1" outlineLevel="1">
      <c r="A380" s="106" t="s">
        <v>321</v>
      </c>
      <c r="B380" s="123"/>
      <c r="C380" s="981">
        <f t="shared" si="1214" ref="C380:AK380">SUM(C377:C379)</f>
        <v>0</v>
      </c>
      <c r="D380" s="981">
        <f t="shared" si="1214"/>
        <v>0</v>
      </c>
      <c r="E380" s="981">
        <f t="shared" si="1214"/>
        <v>0</v>
      </c>
      <c r="F380" s="981">
        <f t="shared" si="1214"/>
        <v>1024</v>
      </c>
      <c r="G380" s="981">
        <f t="shared" si="1214"/>
        <v>1310</v>
      </c>
      <c r="H380" s="386">
        <f t="shared" si="1214"/>
        <v>406</v>
      </c>
      <c r="I380" s="386">
        <f t="shared" si="1214"/>
        <v>340</v>
      </c>
      <c r="J380" s="386">
        <f t="shared" si="1214"/>
        <v>408</v>
      </c>
      <c r="K380" s="386">
        <f t="shared" si="1214"/>
        <v>359</v>
      </c>
      <c r="L380" s="981">
        <f t="shared" si="1214"/>
        <v>1513</v>
      </c>
      <c r="M380" s="386">
        <f t="shared" si="1214"/>
        <v>441</v>
      </c>
      <c r="N380" s="386">
        <f t="shared" si="1214"/>
        <v>371</v>
      </c>
      <c r="O380" s="386">
        <f t="shared" si="1214"/>
        <v>423</v>
      </c>
      <c r="P380" s="386">
        <f t="shared" si="1214"/>
        <v>378</v>
      </c>
      <c r="Q380" s="981">
        <f t="shared" si="1214"/>
        <v>1613</v>
      </c>
      <c r="R380" s="386">
        <f t="shared" si="1214"/>
        <v>452</v>
      </c>
      <c r="S380" s="386">
        <f t="shared" si="1214"/>
        <v>392</v>
      </c>
      <c r="T380" s="386">
        <f t="shared" si="1214"/>
        <v>446</v>
      </c>
      <c r="U380" s="386">
        <f t="shared" si="1214"/>
        <v>399</v>
      </c>
      <c r="V380" s="981">
        <f t="shared" si="1214"/>
        <v>1689</v>
      </c>
      <c r="W380" s="386">
        <f t="shared" si="1214"/>
        <v>457</v>
      </c>
      <c r="X380" s="386">
        <f t="shared" si="1214"/>
        <v>408</v>
      </c>
      <c r="Y380" s="386">
        <f t="shared" si="1214"/>
        <v>453</v>
      </c>
      <c r="Z380" s="386">
        <f t="shared" si="1214"/>
        <v>410</v>
      </c>
      <c r="AA380" s="981">
        <f t="shared" si="1214"/>
        <v>1728</v>
      </c>
      <c r="AB380" s="386">
        <f t="shared" si="1214"/>
        <v>493</v>
      </c>
      <c r="AC380" s="386">
        <f t="shared" si="1214"/>
        <v>459</v>
      </c>
      <c r="AD380" s="386">
        <f t="shared" si="1214"/>
        <v>519</v>
      </c>
      <c r="AE380" s="386">
        <f t="shared" si="1214"/>
        <v>477</v>
      </c>
      <c r="AF380" s="981">
        <f t="shared" si="1214"/>
        <v>1948</v>
      </c>
      <c r="AG380" s="386">
        <f t="shared" si="1214"/>
        <v>559</v>
      </c>
      <c r="AH380" s="386">
        <f t="shared" si="1214"/>
        <v>503</v>
      </c>
      <c r="AI380" s="386">
        <f t="shared" si="1214"/>
        <v>562</v>
      </c>
      <c r="AJ380" s="386">
        <f t="shared" si="1214"/>
        <v>489</v>
      </c>
      <c r="AK380" s="981">
        <f t="shared" si="1214"/>
        <v>2113</v>
      </c>
      <c r="AL380" s="386">
        <f>SUM(AL377:AL379)</f>
        <v>546</v>
      </c>
      <c r="AM380" s="386">
        <f>SUM(AM377:AM379)</f>
        <v>518</v>
      </c>
      <c r="AN380" s="467"/>
      <c r="AO380" s="467"/>
      <c r="AP380" s="980"/>
      <c r="AQ380" s="467"/>
      <c r="AR380" s="467"/>
      <c r="AS380" s="467"/>
      <c r="AT380" s="467"/>
      <c r="AU380" s="980"/>
      <c r="AV380" s="467"/>
      <c r="AW380" s="467"/>
      <c r="AX380" s="467"/>
      <c r="AY380" s="467"/>
      <c r="AZ380" s="980"/>
      <c r="BA380" s="467"/>
      <c r="BB380" s="467"/>
      <c r="BC380" s="467"/>
      <c r="BD380" s="467"/>
      <c r="BE380" s="980"/>
      <c r="BF380" s="467"/>
      <c r="BG380" s="467"/>
      <c r="BH380" s="759"/>
      <c r="BI380" s="92"/>
      <c r="BJ380" s="989"/>
      <c r="BK380" s="92"/>
      <c r="BL380" s="92"/>
      <c r="BM380" s="92"/>
      <c r="BN380" s="92"/>
      <c r="BO380" s="989"/>
      <c r="BP380" s="989"/>
      <c r="BQ380" s="989"/>
      <c r="BR380" s="989"/>
      <c r="BS380" s="305"/>
    </row>
    <row r="381" spans="1:71" s="300" customFormat="1" ht="15" hidden="1" outlineLevel="1">
      <c r="A381" s="225" t="s">
        <v>317</v>
      </c>
      <c r="B381" s="123"/>
      <c r="C381" s="980"/>
      <c r="D381" s="980"/>
      <c r="E381" s="980"/>
      <c r="F381" s="982">
        <v>618</v>
      </c>
      <c r="G381" s="982">
        <v>641</v>
      </c>
      <c r="H381" s="931">
        <v>151</v>
      </c>
      <c r="I381" s="931">
        <v>176</v>
      </c>
      <c r="J381" s="931">
        <v>178</v>
      </c>
      <c r="K381" s="931">
        <v>160</v>
      </c>
      <c r="L381" s="981">
        <f>SUM(H381,I381,J381,K381)</f>
        <v>665</v>
      </c>
      <c r="M381" s="931">
        <v>147</v>
      </c>
      <c r="N381" s="931">
        <v>173</v>
      </c>
      <c r="O381" s="931">
        <v>169</v>
      </c>
      <c r="P381" s="931">
        <v>152</v>
      </c>
      <c r="Q381" s="981">
        <f>SUM(M381,N381,O381,P381)</f>
        <v>641</v>
      </c>
      <c r="R381" s="931">
        <v>138</v>
      </c>
      <c r="S381" s="931">
        <v>162</v>
      </c>
      <c r="T381" s="931">
        <v>153</v>
      </c>
      <c r="U381" s="931">
        <v>138</v>
      </c>
      <c r="V381" s="981">
        <f>SUM(R381,S381,T381,U381)</f>
        <v>591</v>
      </c>
      <c r="W381" s="931">
        <v>125</v>
      </c>
      <c r="X381" s="931">
        <v>148</v>
      </c>
      <c r="Y381" s="931">
        <v>141</v>
      </c>
      <c r="Z381" s="931">
        <v>128</v>
      </c>
      <c r="AA381" s="981">
        <f>SUM(W381,X381,Y381,Z381)</f>
        <v>542</v>
      </c>
      <c r="AB381" s="931">
        <v>118</v>
      </c>
      <c r="AC381" s="931">
        <v>146</v>
      </c>
      <c r="AD381" s="931">
        <v>143</v>
      </c>
      <c r="AE381" s="931">
        <v>130</v>
      </c>
      <c r="AF381" s="981">
        <f>SUM(AB381,AC381,AD381,AE381)</f>
        <v>537</v>
      </c>
      <c r="AG381" s="931">
        <v>120</v>
      </c>
      <c r="AH381" s="931">
        <v>146</v>
      </c>
      <c r="AI381" s="931">
        <v>147</v>
      </c>
      <c r="AJ381" s="931">
        <v>127</v>
      </c>
      <c r="AK381" s="981">
        <f>SUM(AG381,AH381,AI381,AJ381)</f>
        <v>540</v>
      </c>
      <c r="AL381" s="931">
        <v>118</v>
      </c>
      <c r="AM381" s="931">
        <v>136</v>
      </c>
      <c r="AN381" s="931">
        <v>134</v>
      </c>
      <c r="AO381" s="467"/>
      <c r="AP381" s="980"/>
      <c r="AQ381" s="467"/>
      <c r="AR381" s="467"/>
      <c r="AS381" s="467"/>
      <c r="AT381" s="467"/>
      <c r="AU381" s="980"/>
      <c r="AV381" s="467"/>
      <c r="AW381" s="467"/>
      <c r="AX381" s="467"/>
      <c r="AY381" s="467"/>
      <c r="AZ381" s="980"/>
      <c r="BA381" s="467"/>
      <c r="BB381" s="467"/>
      <c r="BC381" s="467"/>
      <c r="BD381" s="467"/>
      <c r="BE381" s="980"/>
      <c r="BF381" s="467"/>
      <c r="BG381" s="467"/>
      <c r="BH381" s="759"/>
      <c r="BI381" s="92"/>
      <c r="BJ381" s="989"/>
      <c r="BK381" s="92"/>
      <c r="BL381" s="92"/>
      <c r="BM381" s="92"/>
      <c r="BN381" s="92"/>
      <c r="BO381" s="989"/>
      <c r="BP381" s="989"/>
      <c r="BQ381" s="989"/>
      <c r="BR381" s="989"/>
      <c r="BS381" s="305"/>
    </row>
    <row r="382" spans="1:71" s="300" customFormat="1" ht="15" hidden="1" outlineLevel="1">
      <c r="A382" s="225" t="s">
        <v>318</v>
      </c>
      <c r="B382" s="123"/>
      <c r="C382" s="980"/>
      <c r="D382" s="980"/>
      <c r="E382" s="980"/>
      <c r="F382" s="982">
        <v>398</v>
      </c>
      <c r="G382" s="982">
        <v>461</v>
      </c>
      <c r="H382" s="931">
        <v>110</v>
      </c>
      <c r="I382" s="931">
        <v>136</v>
      </c>
      <c r="J382" s="931">
        <v>137</v>
      </c>
      <c r="K382" s="931">
        <v>123</v>
      </c>
      <c r="L382" s="981">
        <f>SUM(H382,I382,J382,K382)</f>
        <v>506</v>
      </c>
      <c r="M382" s="931">
        <v>111</v>
      </c>
      <c r="N382" s="931">
        <v>136</v>
      </c>
      <c r="O382" s="931">
        <v>134</v>
      </c>
      <c r="P382" s="931">
        <v>116</v>
      </c>
      <c r="Q382" s="981">
        <f>SUM(M382,N382,O382,P382)</f>
        <v>497</v>
      </c>
      <c r="R382" s="931">
        <v>104</v>
      </c>
      <c r="S382" s="931">
        <v>126</v>
      </c>
      <c r="T382" s="931">
        <v>121</v>
      </c>
      <c r="U382" s="931">
        <v>103</v>
      </c>
      <c r="V382" s="981">
        <f>SUM(R382,S382,T382,U382)</f>
        <v>454</v>
      </c>
      <c r="W382" s="931">
        <v>91</v>
      </c>
      <c r="X382" s="931">
        <v>112</v>
      </c>
      <c r="Y382" s="931">
        <v>108</v>
      </c>
      <c r="Z382" s="931">
        <v>95</v>
      </c>
      <c r="AA382" s="981">
        <f>SUM(W382,X382,Y382,Z382)</f>
        <v>406</v>
      </c>
      <c r="AB382" s="931">
        <v>86</v>
      </c>
      <c r="AC382" s="931">
        <v>108</v>
      </c>
      <c r="AD382" s="931">
        <v>106</v>
      </c>
      <c r="AE382" s="931">
        <v>98</v>
      </c>
      <c r="AF382" s="981">
        <f>SUM(AB382,AC382,AD382,AE382)</f>
        <v>398</v>
      </c>
      <c r="AG382" s="931">
        <v>86</v>
      </c>
      <c r="AH382" s="931">
        <v>111</v>
      </c>
      <c r="AI382" s="931">
        <v>110</v>
      </c>
      <c r="AJ382" s="931">
        <v>94</v>
      </c>
      <c r="AK382" s="981">
        <f>SUM(AG382,AH382,AI382,AJ382)</f>
        <v>401</v>
      </c>
      <c r="AL382" s="931">
        <v>87</v>
      </c>
      <c r="AM382" s="931">
        <v>106</v>
      </c>
      <c r="AN382" s="931">
        <v>105</v>
      </c>
      <c r="AO382" s="467"/>
      <c r="AP382" s="980"/>
      <c r="AQ382" s="467"/>
      <c r="AR382" s="467"/>
      <c r="AS382" s="467"/>
      <c r="AT382" s="467"/>
      <c r="AU382" s="980"/>
      <c r="AV382" s="467"/>
      <c r="AW382" s="467"/>
      <c r="AX382" s="467"/>
      <c r="AY382" s="467"/>
      <c r="AZ382" s="980"/>
      <c r="BA382" s="467"/>
      <c r="BB382" s="467"/>
      <c r="BC382" s="467"/>
      <c r="BD382" s="467"/>
      <c r="BE382" s="980"/>
      <c r="BF382" s="467"/>
      <c r="BG382" s="467"/>
      <c r="BH382" s="759"/>
      <c r="BI382" s="92"/>
      <c r="BJ382" s="989"/>
      <c r="BK382" s="92"/>
      <c r="BL382" s="92"/>
      <c r="BM382" s="92"/>
      <c r="BN382" s="92"/>
      <c r="BO382" s="989"/>
      <c r="BP382" s="989"/>
      <c r="BQ382" s="989"/>
      <c r="BR382" s="989"/>
      <c r="BS382" s="305"/>
    </row>
    <row r="383" spans="1:71" s="300" customFormat="1" ht="15" hidden="1" outlineLevel="1">
      <c r="A383" s="165" t="s">
        <v>319</v>
      </c>
      <c r="B383" s="126"/>
      <c r="C383" s="983"/>
      <c r="D383" s="983"/>
      <c r="E383" s="983"/>
      <c r="F383" s="984">
        <v>97</v>
      </c>
      <c r="G383" s="984">
        <v>104</v>
      </c>
      <c r="H383" s="893">
        <v>25</v>
      </c>
      <c r="I383" s="893">
        <v>29</v>
      </c>
      <c r="J383" s="893">
        <v>28</v>
      </c>
      <c r="K383" s="893">
        <v>27</v>
      </c>
      <c r="L383" s="985">
        <f>SUM(H383,I383,J383,K383)</f>
        <v>109</v>
      </c>
      <c r="M383" s="893">
        <v>24</v>
      </c>
      <c r="N383" s="893">
        <v>29</v>
      </c>
      <c r="O383" s="893">
        <v>28</v>
      </c>
      <c r="P383" s="893">
        <v>25</v>
      </c>
      <c r="Q383" s="985">
        <f>SUM(M383,N383,O383,P383)</f>
        <v>106</v>
      </c>
      <c r="R383" s="893">
        <v>21</v>
      </c>
      <c r="S383" s="893">
        <v>27</v>
      </c>
      <c r="T383" s="893">
        <v>25</v>
      </c>
      <c r="U383" s="893">
        <v>22</v>
      </c>
      <c r="V383" s="985">
        <f>SUM(R383,S383,T383,U383)</f>
        <v>95</v>
      </c>
      <c r="W383" s="893">
        <v>20</v>
      </c>
      <c r="X383" s="893">
        <v>25</v>
      </c>
      <c r="Y383" s="893">
        <v>22</v>
      </c>
      <c r="Z383" s="893">
        <v>20</v>
      </c>
      <c r="AA383" s="985">
        <f>SUM(W383,X383,Y383,Z383)</f>
        <v>87</v>
      </c>
      <c r="AB383" s="893">
        <v>19</v>
      </c>
      <c r="AC383" s="893">
        <v>21</v>
      </c>
      <c r="AD383" s="893">
        <v>22</v>
      </c>
      <c r="AE383" s="893">
        <v>19</v>
      </c>
      <c r="AF383" s="985">
        <f>SUM(AB383,AC383,AD383,AE383)</f>
        <v>81</v>
      </c>
      <c r="AG383" s="893">
        <v>18</v>
      </c>
      <c r="AH383" s="893">
        <v>21</v>
      </c>
      <c r="AI383" s="893">
        <v>21</v>
      </c>
      <c r="AJ383" s="893">
        <v>19</v>
      </c>
      <c r="AK383" s="985">
        <f>SUM(AG383,AH383,AI383,AJ383)</f>
        <v>79</v>
      </c>
      <c r="AL383" s="893">
        <v>17</v>
      </c>
      <c r="AM383" s="893">
        <v>21</v>
      </c>
      <c r="AN383" s="893">
        <v>21</v>
      </c>
      <c r="AO383" s="468"/>
      <c r="AP383" s="983"/>
      <c r="AQ383" s="468"/>
      <c r="AR383" s="468"/>
      <c r="AS383" s="468"/>
      <c r="AT383" s="468"/>
      <c r="AU383" s="983"/>
      <c r="AV383" s="468"/>
      <c r="AW383" s="468"/>
      <c r="AX383" s="468"/>
      <c r="AY383" s="468"/>
      <c r="AZ383" s="983"/>
      <c r="BA383" s="468"/>
      <c r="BB383" s="468"/>
      <c r="BC383" s="468"/>
      <c r="BD383" s="468"/>
      <c r="BE383" s="983"/>
      <c r="BF383" s="468"/>
      <c r="BG383" s="468"/>
      <c r="BH383" s="760"/>
      <c r="BI383" s="115"/>
      <c r="BJ383" s="995"/>
      <c r="BK383" s="115"/>
      <c r="BL383" s="115"/>
      <c r="BM383" s="115"/>
      <c r="BN383" s="115"/>
      <c r="BO383" s="995"/>
      <c r="BP383" s="995"/>
      <c r="BQ383" s="995"/>
      <c r="BR383" s="995"/>
      <c r="BS383" s="305"/>
    </row>
    <row r="384" spans="1:71" s="300" customFormat="1" ht="15" hidden="1" outlineLevel="1">
      <c r="A384" s="106" t="s">
        <v>322</v>
      </c>
      <c r="B384" s="123"/>
      <c r="C384" s="981">
        <f t="shared" si="1215" ref="C384:AK384">SUM(C381:C383)</f>
        <v>0</v>
      </c>
      <c r="D384" s="981">
        <f t="shared" si="1215"/>
        <v>0</v>
      </c>
      <c r="E384" s="981">
        <f t="shared" si="1215"/>
        <v>0</v>
      </c>
      <c r="F384" s="981">
        <f t="shared" si="1215"/>
        <v>1113</v>
      </c>
      <c r="G384" s="981">
        <f t="shared" si="1215"/>
        <v>1206</v>
      </c>
      <c r="H384" s="386">
        <f t="shared" si="1215"/>
        <v>286</v>
      </c>
      <c r="I384" s="386">
        <f t="shared" si="1215"/>
        <v>341</v>
      </c>
      <c r="J384" s="386">
        <f t="shared" si="1215"/>
        <v>343</v>
      </c>
      <c r="K384" s="386">
        <f t="shared" si="1215"/>
        <v>310</v>
      </c>
      <c r="L384" s="981">
        <f t="shared" si="1215"/>
        <v>1280</v>
      </c>
      <c r="M384" s="386">
        <f t="shared" si="1215"/>
        <v>282</v>
      </c>
      <c r="N384" s="386">
        <f t="shared" si="1215"/>
        <v>338</v>
      </c>
      <c r="O384" s="386">
        <f t="shared" si="1215"/>
        <v>331</v>
      </c>
      <c r="P384" s="386">
        <f t="shared" si="1215"/>
        <v>293</v>
      </c>
      <c r="Q384" s="981">
        <f t="shared" si="1215"/>
        <v>1244</v>
      </c>
      <c r="R384" s="386">
        <f t="shared" si="1215"/>
        <v>263</v>
      </c>
      <c r="S384" s="386">
        <f t="shared" si="1215"/>
        <v>315</v>
      </c>
      <c r="T384" s="386">
        <f t="shared" si="1215"/>
        <v>299</v>
      </c>
      <c r="U384" s="386">
        <f t="shared" si="1215"/>
        <v>263</v>
      </c>
      <c r="V384" s="981">
        <f t="shared" si="1215"/>
        <v>1140</v>
      </c>
      <c r="W384" s="386">
        <f t="shared" si="1215"/>
        <v>236</v>
      </c>
      <c r="X384" s="386">
        <f t="shared" si="1215"/>
        <v>285</v>
      </c>
      <c r="Y384" s="386">
        <f t="shared" si="1215"/>
        <v>271</v>
      </c>
      <c r="Z384" s="386">
        <f t="shared" si="1215"/>
        <v>243</v>
      </c>
      <c r="AA384" s="981">
        <f t="shared" si="1215"/>
        <v>1035</v>
      </c>
      <c r="AB384" s="386">
        <f t="shared" si="1215"/>
        <v>223</v>
      </c>
      <c r="AC384" s="386">
        <f t="shared" si="1215"/>
        <v>275</v>
      </c>
      <c r="AD384" s="386">
        <f t="shared" si="1215"/>
        <v>271</v>
      </c>
      <c r="AE384" s="386">
        <f t="shared" si="1215"/>
        <v>247</v>
      </c>
      <c r="AF384" s="981">
        <f t="shared" si="1215"/>
        <v>1016</v>
      </c>
      <c r="AG384" s="386">
        <f t="shared" si="1215"/>
        <v>224</v>
      </c>
      <c r="AH384" s="386">
        <f t="shared" si="1215"/>
        <v>278</v>
      </c>
      <c r="AI384" s="386">
        <f t="shared" si="1215"/>
        <v>278</v>
      </c>
      <c r="AJ384" s="386">
        <f t="shared" si="1215"/>
        <v>240</v>
      </c>
      <c r="AK384" s="981">
        <f t="shared" si="1215"/>
        <v>1020</v>
      </c>
      <c r="AL384" s="386">
        <f>SUM(AL381:AL383)</f>
        <v>222</v>
      </c>
      <c r="AM384" s="386">
        <f>SUM(AM381:AM383)</f>
        <v>263</v>
      </c>
      <c r="AN384" s="386">
        <f>SUM(AN381:AN383)</f>
        <v>260</v>
      </c>
      <c r="AO384" s="467"/>
      <c r="AP384" s="980"/>
      <c r="AQ384" s="467"/>
      <c r="AR384" s="467"/>
      <c r="AS384" s="467"/>
      <c r="AT384" s="467"/>
      <c r="AU384" s="980"/>
      <c r="AV384" s="467"/>
      <c r="AW384" s="467"/>
      <c r="AX384" s="467"/>
      <c r="AY384" s="467"/>
      <c r="AZ384" s="980"/>
      <c r="BA384" s="467"/>
      <c r="BB384" s="467"/>
      <c r="BC384" s="467"/>
      <c r="BD384" s="467"/>
      <c r="BE384" s="980"/>
      <c r="BF384" s="467"/>
      <c r="BG384" s="467"/>
      <c r="BH384" s="759"/>
      <c r="BI384" s="92"/>
      <c r="BJ384" s="989"/>
      <c r="BK384" s="92"/>
      <c r="BL384" s="92"/>
      <c r="BM384" s="92"/>
      <c r="BN384" s="92"/>
      <c r="BO384" s="989"/>
      <c r="BP384" s="989"/>
      <c r="BQ384" s="989"/>
      <c r="BR384" s="989"/>
      <c r="BS384" s="305"/>
    </row>
    <row r="385" spans="1:71" s="300" customFormat="1" ht="15" hidden="1" outlineLevel="1">
      <c r="A385" s="304" t="s">
        <v>326</v>
      </c>
      <c r="B385" s="123"/>
      <c r="C385" s="982">
        <v>25971</v>
      </c>
      <c r="D385" s="982">
        <v>25907</v>
      </c>
      <c r="E385" s="982">
        <v>25980</v>
      </c>
      <c r="F385" s="981">
        <f t="shared" si="1216" ref="F385:AK385">F376+F380+F384</f>
        <v>27026</v>
      </c>
      <c r="G385" s="981">
        <f t="shared" si="1216"/>
        <v>28164</v>
      </c>
      <c r="H385" s="386">
        <f t="shared" si="1216"/>
        <v>6969</v>
      </c>
      <c r="I385" s="386">
        <f t="shared" si="1216"/>
        <v>7547</v>
      </c>
      <c r="J385" s="386">
        <f t="shared" si="1216"/>
        <v>7805</v>
      </c>
      <c r="K385" s="386">
        <f t="shared" si="1216"/>
        <v>7292</v>
      </c>
      <c r="L385" s="981">
        <f t="shared" si="1216"/>
        <v>29613</v>
      </c>
      <c r="M385" s="386">
        <f t="shared" si="1216"/>
        <v>7306</v>
      </c>
      <c r="N385" s="386">
        <f t="shared" si="1216"/>
        <v>7877</v>
      </c>
      <c r="O385" s="386">
        <f t="shared" si="1216"/>
        <v>8137</v>
      </c>
      <c r="P385" s="386">
        <f t="shared" si="1216"/>
        <v>7551</v>
      </c>
      <c r="Q385" s="981">
        <f t="shared" si="1216"/>
        <v>30871</v>
      </c>
      <c r="R385" s="386">
        <f t="shared" si="1216"/>
        <v>7515</v>
      </c>
      <c r="S385" s="386">
        <f t="shared" si="1216"/>
        <v>8051</v>
      </c>
      <c r="T385" s="386">
        <f t="shared" si="1216"/>
        <v>8309</v>
      </c>
      <c r="U385" s="386">
        <f t="shared" si="1216"/>
        <v>7722</v>
      </c>
      <c r="V385" s="981">
        <f t="shared" si="1216"/>
        <v>31597</v>
      </c>
      <c r="W385" s="386">
        <f t="shared" si="1216"/>
        <v>7469</v>
      </c>
      <c r="X385" s="386">
        <f t="shared" si="1216"/>
        <v>8030</v>
      </c>
      <c r="Y385" s="386">
        <f t="shared" si="1216"/>
        <v>8311</v>
      </c>
      <c r="Z385" s="386">
        <f t="shared" si="1216"/>
        <v>7838</v>
      </c>
      <c r="AA385" s="981">
        <f t="shared" si="1216"/>
        <v>31648</v>
      </c>
      <c r="AB385" s="386">
        <f t="shared" si="1216"/>
        <v>7844</v>
      </c>
      <c r="AC385" s="386">
        <f t="shared" si="1216"/>
        <v>8541</v>
      </c>
      <c r="AD385" s="386">
        <f t="shared" si="1216"/>
        <v>8800</v>
      </c>
      <c r="AE385" s="386">
        <f t="shared" si="1216"/>
        <v>8370</v>
      </c>
      <c r="AF385" s="981">
        <f t="shared" si="1216"/>
        <v>33555</v>
      </c>
      <c r="AG385" s="386">
        <f t="shared" si="1216"/>
        <v>8327</v>
      </c>
      <c r="AH385" s="386">
        <f t="shared" si="1216"/>
        <v>9043</v>
      </c>
      <c r="AI385" s="386">
        <f t="shared" si="1216"/>
        <v>9312</v>
      </c>
      <c r="AJ385" s="386">
        <f t="shared" si="1216"/>
        <v>8737</v>
      </c>
      <c r="AK385" s="981">
        <f t="shared" si="1216"/>
        <v>35419</v>
      </c>
      <c r="AL385" s="386">
        <f>AL376+AL380+AL384</f>
        <v>8592</v>
      </c>
      <c r="AM385" s="386">
        <f>AM376+AM380+AM384</f>
        <v>9172</v>
      </c>
      <c r="AN385" s="386">
        <f>AN376+AN380+AN384</f>
        <v>9395</v>
      </c>
      <c r="AO385" s="386">
        <f>AO182</f>
        <v>8609</v>
      </c>
      <c r="AP385" s="981">
        <f>AP182</f>
        <v>35768</v>
      </c>
      <c r="AQ385" s="386">
        <f>AQ182</f>
        <v>9768</v>
      </c>
      <c r="AR385" s="386">
        <f>AR182</f>
        <v>10323</v>
      </c>
      <c r="AS385" s="931">
        <v>10966</v>
      </c>
      <c r="AT385" s="386">
        <f>AT182</f>
        <v>10301</v>
      </c>
      <c r="AU385" s="981">
        <f>AU182</f>
        <v>41358</v>
      </c>
      <c r="AV385" s="386">
        <f>AV182</f>
        <v>10761</v>
      </c>
      <c r="AW385" s="386">
        <f>AW182</f>
        <v>11509</v>
      </c>
      <c r="AX385" s="931">
        <v>12037</v>
      </c>
      <c r="AY385" s="386">
        <f>AY182</f>
        <v>11480</v>
      </c>
      <c r="AZ385" s="981">
        <f>AZ182</f>
        <v>45787</v>
      </c>
      <c r="BA385" s="386">
        <f>BA182</f>
        <v>11783</v>
      </c>
      <c r="BB385" s="386">
        <f>BB182</f>
        <v>12620</v>
      </c>
      <c r="BC385" s="931">
        <v>13304</v>
      </c>
      <c r="BD385" s="386">
        <f>BD182</f>
        <v>12640</v>
      </c>
      <c r="BE385" s="981">
        <f>BE182</f>
        <v>50347</v>
      </c>
      <c r="BF385" s="386">
        <f>BF182</f>
        <v>13183</v>
      </c>
      <c r="BG385" s="386">
        <f>BG182</f>
        <v>14279</v>
      </c>
      <c r="BH385" s="739">
        <f>BH182</f>
        <v>14707</v>
      </c>
      <c r="BI385" s="92"/>
      <c r="BJ385" s="989"/>
      <c r="BK385" s="92"/>
      <c r="BL385" s="92"/>
      <c r="BM385" s="92"/>
      <c r="BN385" s="92"/>
      <c r="BO385" s="989"/>
      <c r="BP385" s="989"/>
      <c r="BQ385" s="989"/>
      <c r="BR385" s="989"/>
      <c r="BS385" s="305"/>
    </row>
    <row r="386" spans="1:71" s="300" customFormat="1" ht="15" hidden="1" outlineLevel="1">
      <c r="A386" s="106" t="s">
        <v>323</v>
      </c>
      <c r="B386" s="123"/>
      <c r="C386" s="980"/>
      <c r="D386" s="980"/>
      <c r="E386" s="980"/>
      <c r="F386" s="980"/>
      <c r="G386" s="982">
        <v>0</v>
      </c>
      <c r="H386" s="467"/>
      <c r="I386" s="467"/>
      <c r="J386" s="467"/>
      <c r="K386" s="467"/>
      <c r="L386" s="981">
        <f>SUM(H386,I386,J386,K386)</f>
        <v>0</v>
      </c>
      <c r="M386" s="467"/>
      <c r="N386" s="467"/>
      <c r="O386" s="467"/>
      <c r="P386" s="467"/>
      <c r="Q386" s="981">
        <f>SUM(M386,N386,O386,P386)</f>
        <v>0</v>
      </c>
      <c r="R386" s="467"/>
      <c r="S386" s="467"/>
      <c r="T386" s="467"/>
      <c r="U386" s="467"/>
      <c r="V386" s="981">
        <f>SUM(R386,S386,T386,U386)</f>
        <v>0</v>
      </c>
      <c r="W386" s="931">
        <v>81</v>
      </c>
      <c r="X386" s="931">
        <v>85</v>
      </c>
      <c r="Y386" s="931">
        <v>104</v>
      </c>
      <c r="Z386" s="931">
        <v>156</v>
      </c>
      <c r="AA386" s="981">
        <f>SUM(W386,X386,Y386,Z386)</f>
        <v>426</v>
      </c>
      <c r="AB386" s="931">
        <v>130</v>
      </c>
      <c r="AC386" s="931">
        <v>126</v>
      </c>
      <c r="AD386" s="931">
        <v>194</v>
      </c>
      <c r="AE386" s="931">
        <v>323</v>
      </c>
      <c r="AF386" s="981">
        <f>SUM(AB386,AC386,AD386,AE386)</f>
        <v>773</v>
      </c>
      <c r="AG386" s="931">
        <v>206</v>
      </c>
      <c r="AH386" s="931">
        <v>167</v>
      </c>
      <c r="AI386" s="931">
        <v>181</v>
      </c>
      <c r="AJ386" s="931">
        <v>278</v>
      </c>
      <c r="AK386" s="981">
        <f>SUM(AG386,AH386,AI386,AJ386)</f>
        <v>832</v>
      </c>
      <c r="AL386" s="931">
        <v>221</v>
      </c>
      <c r="AM386" s="931">
        <v>310</v>
      </c>
      <c r="AN386" s="931">
        <v>300</v>
      </c>
      <c r="AO386" s="467"/>
      <c r="AP386" s="980"/>
      <c r="AQ386" s="467"/>
      <c r="AR386" s="467"/>
      <c r="AS386" s="467"/>
      <c r="AT386" s="467"/>
      <c r="AU386" s="980"/>
      <c r="AV386" s="467"/>
      <c r="AW386" s="467"/>
      <c r="AX386" s="467"/>
      <c r="AY386" s="467"/>
      <c r="AZ386" s="980"/>
      <c r="BA386" s="467"/>
      <c r="BB386" s="467"/>
      <c r="BC386" s="467"/>
      <c r="BD386" s="467"/>
      <c r="BE386" s="980"/>
      <c r="BF386" s="467"/>
      <c r="BG386" s="467"/>
      <c r="BH386" s="759"/>
      <c r="BI386" s="92"/>
      <c r="BJ386" s="989"/>
      <c r="BK386" s="92"/>
      <c r="BL386" s="92"/>
      <c r="BM386" s="92"/>
      <c r="BN386" s="92"/>
      <c r="BO386" s="989"/>
      <c r="BP386" s="989"/>
      <c r="BQ386" s="989"/>
      <c r="BR386" s="989"/>
      <c r="BS386" s="305"/>
    </row>
    <row r="387" spans="1:71" s="300" customFormat="1" ht="15" hidden="1" outlineLevel="1">
      <c r="A387" s="225" t="s">
        <v>324</v>
      </c>
      <c r="B387" s="123"/>
      <c r="C387" s="980"/>
      <c r="D387" s="980"/>
      <c r="E387" s="980"/>
      <c r="F387" s="980"/>
      <c r="G387" s="982">
        <v>0</v>
      </c>
      <c r="H387" s="467"/>
      <c r="I387" s="467"/>
      <c r="J387" s="467"/>
      <c r="K387" s="467"/>
      <c r="L387" s="981">
        <f>SUM(H387,I387,J387,K387)</f>
        <v>0</v>
      </c>
      <c r="M387" s="467"/>
      <c r="N387" s="467"/>
      <c r="O387" s="467"/>
      <c r="P387" s="467"/>
      <c r="Q387" s="981">
        <f>SUM(M387,N387,O387,P387)</f>
        <v>0</v>
      </c>
      <c r="R387" s="467"/>
      <c r="S387" s="467"/>
      <c r="T387" s="467"/>
      <c r="U387" s="467"/>
      <c r="V387" s="981">
        <f>SUM(R387,S387,T387,U387)</f>
        <v>0</v>
      </c>
      <c r="W387" s="931">
        <v>104</v>
      </c>
      <c r="X387" s="931">
        <v>108</v>
      </c>
      <c r="Y387" s="931">
        <v>100</v>
      </c>
      <c r="Z387" s="931">
        <v>93</v>
      </c>
      <c r="AA387" s="981">
        <f>SUM(W387,X387,Y387,Z387)</f>
        <v>405</v>
      </c>
      <c r="AB387" s="931">
        <v>92</v>
      </c>
      <c r="AC387" s="931">
        <v>103</v>
      </c>
      <c r="AD387" s="931">
        <v>99</v>
      </c>
      <c r="AE387" s="931">
        <v>105</v>
      </c>
      <c r="AF387" s="981">
        <f>SUM(AB387,AC387,AD387,AE387)</f>
        <v>399</v>
      </c>
      <c r="AG387" s="931">
        <v>99</v>
      </c>
      <c r="AH387" s="931">
        <v>120</v>
      </c>
      <c r="AI387" s="931">
        <v>126</v>
      </c>
      <c r="AJ387" s="931">
        <v>123</v>
      </c>
      <c r="AK387" s="981">
        <f>SUM(AG387,AH387,AI387,AJ387)</f>
        <v>468</v>
      </c>
      <c r="AL387" s="931">
        <v>107</v>
      </c>
      <c r="AM387" s="931">
        <v>113</v>
      </c>
      <c r="AN387" s="931">
        <v>139</v>
      </c>
      <c r="AO387" s="467"/>
      <c r="AP387" s="980"/>
      <c r="AQ387" s="467"/>
      <c r="AR387" s="467"/>
      <c r="AS387" s="467"/>
      <c r="AT387" s="467"/>
      <c r="AU387" s="980"/>
      <c r="AV387" s="467"/>
      <c r="AW387" s="467"/>
      <c r="AX387" s="467"/>
      <c r="AY387" s="467"/>
      <c r="AZ387" s="980"/>
      <c r="BA387" s="467"/>
      <c r="BB387" s="467"/>
      <c r="BC387" s="467"/>
      <c r="BD387" s="467"/>
      <c r="BE387" s="980"/>
      <c r="BF387" s="467"/>
      <c r="BG387" s="467"/>
      <c r="BH387" s="759"/>
      <c r="BI387" s="92"/>
      <c r="BJ387" s="989"/>
      <c r="BK387" s="92"/>
      <c r="BL387" s="92"/>
      <c r="BM387" s="92"/>
      <c r="BN387" s="92"/>
      <c r="BO387" s="989"/>
      <c r="BP387" s="989"/>
      <c r="BQ387" s="989"/>
      <c r="BR387" s="989"/>
      <c r="BS387" s="305"/>
    </row>
    <row r="388" spans="1:71" s="300" customFormat="1" ht="15" hidden="1" outlineLevel="1">
      <c r="A388" s="165" t="s">
        <v>325</v>
      </c>
      <c r="B388" s="126"/>
      <c r="C388" s="983"/>
      <c r="D388" s="983"/>
      <c r="E388" s="983"/>
      <c r="F388" s="983"/>
      <c r="G388" s="984">
        <v>0</v>
      </c>
      <c r="H388" s="468"/>
      <c r="I388" s="468"/>
      <c r="J388" s="468"/>
      <c r="K388" s="468"/>
      <c r="L388" s="985">
        <f>SUM(H388,I388,J388,K388)</f>
        <v>0</v>
      </c>
      <c r="M388" s="468"/>
      <c r="N388" s="468"/>
      <c r="O388" s="468"/>
      <c r="P388" s="468"/>
      <c r="Q388" s="985">
        <f>SUM(M388,N388,O388,P388)</f>
        <v>0</v>
      </c>
      <c r="R388" s="468"/>
      <c r="S388" s="468"/>
      <c r="T388" s="468"/>
      <c r="U388" s="468"/>
      <c r="V388" s="985">
        <f>SUM(R388,S388,T388,U388)</f>
        <v>0</v>
      </c>
      <c r="W388" s="893">
        <v>69</v>
      </c>
      <c r="X388" s="893">
        <v>66</v>
      </c>
      <c r="Y388" s="893">
        <v>68</v>
      </c>
      <c r="Z388" s="893">
        <v>60</v>
      </c>
      <c r="AA388" s="985">
        <f>SUM(W388,X388,Y388,Z388)</f>
        <v>263</v>
      </c>
      <c r="AB388" s="893">
        <v>65</v>
      </c>
      <c r="AC388" s="893">
        <v>68</v>
      </c>
      <c r="AD388" s="893">
        <v>65</v>
      </c>
      <c r="AE388" s="893">
        <v>61</v>
      </c>
      <c r="AF388" s="985">
        <f>SUM(AB388,AC388,AD388,AE388)</f>
        <v>259</v>
      </c>
      <c r="AG388" s="893">
        <v>63</v>
      </c>
      <c r="AH388" s="893">
        <v>63</v>
      </c>
      <c r="AI388" s="893">
        <v>57</v>
      </c>
      <c r="AJ388" s="893">
        <v>52</v>
      </c>
      <c r="AK388" s="985">
        <f>SUM(AG388,AH388,AI388,AJ388)</f>
        <v>235</v>
      </c>
      <c r="AL388" s="893">
        <v>51</v>
      </c>
      <c r="AM388" s="893">
        <v>44</v>
      </c>
      <c r="AN388" s="893">
        <v>46</v>
      </c>
      <c r="AO388" s="468"/>
      <c r="AP388" s="983"/>
      <c r="AQ388" s="468"/>
      <c r="AR388" s="468"/>
      <c r="AS388" s="468"/>
      <c r="AT388" s="468"/>
      <c r="AU388" s="983"/>
      <c r="AV388" s="468"/>
      <c r="AW388" s="468"/>
      <c r="AX388" s="468"/>
      <c r="AY388" s="468"/>
      <c r="AZ388" s="983"/>
      <c r="BA388" s="468"/>
      <c r="BB388" s="468"/>
      <c r="BC388" s="468"/>
      <c r="BD388" s="468"/>
      <c r="BE388" s="983"/>
      <c r="BF388" s="468"/>
      <c r="BG388" s="468"/>
      <c r="BH388" s="760"/>
      <c r="BI388" s="115"/>
      <c r="BJ388" s="995"/>
      <c r="BK388" s="115"/>
      <c r="BL388" s="115"/>
      <c r="BM388" s="115"/>
      <c r="BN388" s="115"/>
      <c r="BO388" s="995"/>
      <c r="BP388" s="995"/>
      <c r="BQ388" s="995"/>
      <c r="BR388" s="995"/>
      <c r="BS388" s="305"/>
    </row>
    <row r="389" spans="1:71" s="300" customFormat="1" ht="15" hidden="1" outlineLevel="1">
      <c r="A389" s="106" t="s">
        <v>658</v>
      </c>
      <c r="B389" s="123"/>
      <c r="C389" s="981">
        <f t="shared" si="1217" ref="C389:AM389">SUM(C387:C388)</f>
        <v>0</v>
      </c>
      <c r="D389" s="981">
        <f t="shared" si="1217"/>
        <v>0</v>
      </c>
      <c r="E389" s="981">
        <f t="shared" si="1217"/>
        <v>0</v>
      </c>
      <c r="F389" s="981">
        <f t="shared" si="1217"/>
        <v>0</v>
      </c>
      <c r="G389" s="981">
        <f t="shared" si="1217"/>
        <v>0</v>
      </c>
      <c r="H389" s="386">
        <f t="shared" si="1217"/>
        <v>0</v>
      </c>
      <c r="I389" s="386">
        <f t="shared" si="1217"/>
        <v>0</v>
      </c>
      <c r="J389" s="386">
        <f t="shared" si="1217"/>
        <v>0</v>
      </c>
      <c r="K389" s="386">
        <f t="shared" si="1217"/>
        <v>0</v>
      </c>
      <c r="L389" s="981">
        <f t="shared" si="1217"/>
        <v>0</v>
      </c>
      <c r="M389" s="386">
        <f t="shared" si="1217"/>
        <v>0</v>
      </c>
      <c r="N389" s="386">
        <f t="shared" si="1217"/>
        <v>0</v>
      </c>
      <c r="O389" s="386">
        <f t="shared" si="1217"/>
        <v>0</v>
      </c>
      <c r="P389" s="386">
        <f t="shared" si="1217"/>
        <v>0</v>
      </c>
      <c r="Q389" s="981">
        <f t="shared" si="1217"/>
        <v>0</v>
      </c>
      <c r="R389" s="386">
        <f t="shared" si="1217"/>
        <v>0</v>
      </c>
      <c r="S389" s="386">
        <f t="shared" si="1217"/>
        <v>0</v>
      </c>
      <c r="T389" s="386">
        <f t="shared" si="1217"/>
        <v>0</v>
      </c>
      <c r="U389" s="386">
        <f t="shared" si="1217"/>
        <v>0</v>
      </c>
      <c r="V389" s="981">
        <f t="shared" si="1217"/>
        <v>0</v>
      </c>
      <c r="W389" s="386">
        <f t="shared" si="1217"/>
        <v>173</v>
      </c>
      <c r="X389" s="386">
        <f t="shared" si="1217"/>
        <v>174</v>
      </c>
      <c r="Y389" s="386">
        <f t="shared" si="1217"/>
        <v>168</v>
      </c>
      <c r="Z389" s="386">
        <f t="shared" si="1217"/>
        <v>153</v>
      </c>
      <c r="AA389" s="981">
        <f t="shared" si="1217"/>
        <v>668</v>
      </c>
      <c r="AB389" s="386">
        <f t="shared" si="1217"/>
        <v>157</v>
      </c>
      <c r="AC389" s="386">
        <f t="shared" si="1217"/>
        <v>171</v>
      </c>
      <c r="AD389" s="386">
        <f t="shared" si="1217"/>
        <v>164</v>
      </c>
      <c r="AE389" s="386">
        <f t="shared" si="1217"/>
        <v>166</v>
      </c>
      <c r="AF389" s="981">
        <f t="shared" si="1217"/>
        <v>658</v>
      </c>
      <c r="AG389" s="386">
        <f t="shared" si="1217"/>
        <v>162</v>
      </c>
      <c r="AH389" s="386">
        <f t="shared" si="1217"/>
        <v>183</v>
      </c>
      <c r="AI389" s="386">
        <f t="shared" si="1217"/>
        <v>183</v>
      </c>
      <c r="AJ389" s="386">
        <f t="shared" si="1217"/>
        <v>175</v>
      </c>
      <c r="AK389" s="981">
        <f t="shared" si="1217"/>
        <v>703</v>
      </c>
      <c r="AL389" s="386">
        <f t="shared" si="1217"/>
        <v>158</v>
      </c>
      <c r="AM389" s="386">
        <f t="shared" si="1217"/>
        <v>157</v>
      </c>
      <c r="AN389" s="386">
        <f>SUM(AN387:AN388)</f>
        <v>185</v>
      </c>
      <c r="AO389" s="467"/>
      <c r="AP389" s="980"/>
      <c r="AQ389" s="467"/>
      <c r="AR389" s="467"/>
      <c r="AS389" s="467"/>
      <c r="AT389" s="467"/>
      <c r="AU389" s="980"/>
      <c r="AV389" s="467"/>
      <c r="AW389" s="467"/>
      <c r="AX389" s="467"/>
      <c r="AY389" s="467"/>
      <c r="AZ389" s="980"/>
      <c r="BA389" s="467"/>
      <c r="BB389" s="467"/>
      <c r="BC389" s="467"/>
      <c r="BD389" s="467"/>
      <c r="BE389" s="980"/>
      <c r="BF389" s="467"/>
      <c r="BG389" s="467"/>
      <c r="BH389" s="759"/>
      <c r="BI389" s="92"/>
      <c r="BJ389" s="989"/>
      <c r="BK389" s="92"/>
      <c r="BL389" s="92"/>
      <c r="BM389" s="92"/>
      <c r="BN389" s="92"/>
      <c r="BO389" s="989"/>
      <c r="BP389" s="989"/>
      <c r="BQ389" s="989"/>
      <c r="BR389" s="989"/>
      <c r="BS389" s="305"/>
    </row>
    <row r="390" spans="1:71" s="300" customFormat="1" ht="15" hidden="1" outlineLevel="1">
      <c r="A390" s="304" t="s">
        <v>711</v>
      </c>
      <c r="B390" s="123"/>
      <c r="C390" s="981">
        <f t="shared" si="1218" ref="C390:AM390">C386+C389</f>
        <v>0</v>
      </c>
      <c r="D390" s="981">
        <f t="shared" si="1218"/>
        <v>0</v>
      </c>
      <c r="E390" s="981">
        <f t="shared" si="1218"/>
        <v>0</v>
      </c>
      <c r="F390" s="981">
        <f t="shared" si="1218"/>
        <v>0</v>
      </c>
      <c r="G390" s="981">
        <f t="shared" si="1218"/>
        <v>0</v>
      </c>
      <c r="H390" s="386">
        <f t="shared" si="1218"/>
        <v>0</v>
      </c>
      <c r="I390" s="386">
        <f t="shared" si="1218"/>
        <v>0</v>
      </c>
      <c r="J390" s="386">
        <f t="shared" si="1218"/>
        <v>0</v>
      </c>
      <c r="K390" s="386">
        <f t="shared" si="1218"/>
        <v>0</v>
      </c>
      <c r="L390" s="981">
        <f t="shared" si="1218"/>
        <v>0</v>
      </c>
      <c r="M390" s="386">
        <f t="shared" si="1218"/>
        <v>0</v>
      </c>
      <c r="N390" s="386">
        <f t="shared" si="1218"/>
        <v>0</v>
      </c>
      <c r="O390" s="386">
        <f t="shared" si="1218"/>
        <v>0</v>
      </c>
      <c r="P390" s="386">
        <f t="shared" si="1218"/>
        <v>0</v>
      </c>
      <c r="Q390" s="981">
        <f t="shared" si="1218"/>
        <v>0</v>
      </c>
      <c r="R390" s="386">
        <f t="shared" si="1218"/>
        <v>0</v>
      </c>
      <c r="S390" s="386">
        <f t="shared" si="1218"/>
        <v>0</v>
      </c>
      <c r="T390" s="386">
        <f t="shared" si="1218"/>
        <v>0</v>
      </c>
      <c r="U390" s="386">
        <f t="shared" si="1218"/>
        <v>0</v>
      </c>
      <c r="V390" s="981">
        <f t="shared" si="1218"/>
        <v>0</v>
      </c>
      <c r="W390" s="386">
        <f t="shared" si="1218"/>
        <v>254</v>
      </c>
      <c r="X390" s="386">
        <f t="shared" si="1218"/>
        <v>259</v>
      </c>
      <c r="Y390" s="386">
        <f t="shared" si="1218"/>
        <v>272</v>
      </c>
      <c r="Z390" s="386">
        <f t="shared" si="1218"/>
        <v>309</v>
      </c>
      <c r="AA390" s="981">
        <f t="shared" si="1218"/>
        <v>1094</v>
      </c>
      <c r="AB390" s="386">
        <f t="shared" si="1218"/>
        <v>287</v>
      </c>
      <c r="AC390" s="386">
        <f t="shared" si="1218"/>
        <v>297</v>
      </c>
      <c r="AD390" s="386">
        <f t="shared" si="1218"/>
        <v>358</v>
      </c>
      <c r="AE390" s="386">
        <f t="shared" si="1218"/>
        <v>489</v>
      </c>
      <c r="AF390" s="981">
        <f t="shared" si="1218"/>
        <v>1431</v>
      </c>
      <c r="AG390" s="386">
        <f t="shared" si="1218"/>
        <v>368</v>
      </c>
      <c r="AH390" s="386">
        <f t="shared" si="1218"/>
        <v>350</v>
      </c>
      <c r="AI390" s="386">
        <f t="shared" si="1218"/>
        <v>364</v>
      </c>
      <c r="AJ390" s="386">
        <f t="shared" si="1218"/>
        <v>453</v>
      </c>
      <c r="AK390" s="981">
        <f t="shared" si="1218"/>
        <v>1535</v>
      </c>
      <c r="AL390" s="386">
        <f t="shared" si="1218"/>
        <v>379</v>
      </c>
      <c r="AM390" s="386">
        <f t="shared" si="1218"/>
        <v>467</v>
      </c>
      <c r="AN390" s="386">
        <f>AN386+AN389</f>
        <v>485</v>
      </c>
      <c r="AO390" s="386">
        <f>AO226</f>
        <v>559</v>
      </c>
      <c r="AP390" s="981">
        <f>AP226</f>
        <v>1890</v>
      </c>
      <c r="AQ390" s="386">
        <f>AQ226</f>
        <v>583</v>
      </c>
      <c r="AR390" s="386">
        <f>AR226</f>
        <v>692</v>
      </c>
      <c r="AS390" s="931">
        <v>651</v>
      </c>
      <c r="AT390" s="386">
        <f>AT226</f>
        <v>716</v>
      </c>
      <c r="AU390" s="981">
        <f>AU226</f>
        <v>2642</v>
      </c>
      <c r="AV390" s="386">
        <f>AV226</f>
        <v>630</v>
      </c>
      <c r="AW390" s="386">
        <f>AW226</f>
        <v>670</v>
      </c>
      <c r="AX390" s="931">
        <v>657</v>
      </c>
      <c r="AY390" s="386">
        <f>AY226</f>
        <v>742</v>
      </c>
      <c r="AZ390" s="981">
        <f>AZ226</f>
        <v>2699</v>
      </c>
      <c r="BA390" s="386">
        <f>BA226</f>
        <v>619</v>
      </c>
      <c r="BB390" s="386">
        <f>BB226</f>
        <v>658</v>
      </c>
      <c r="BC390" s="931">
        <v>658</v>
      </c>
      <c r="BD390" s="386">
        <f>BD226</f>
        <v>728</v>
      </c>
      <c r="BE390" s="981">
        <f>BE226</f>
        <v>2663</v>
      </c>
      <c r="BF390" s="386">
        <f>BF226</f>
        <v>627</v>
      </c>
      <c r="BG390" s="386">
        <f>BG226</f>
        <v>676</v>
      </c>
      <c r="BH390" s="739">
        <f>BH226</f>
        <v>678</v>
      </c>
      <c r="BI390" s="92"/>
      <c r="BJ390" s="989"/>
      <c r="BK390" s="92"/>
      <c r="BL390" s="92"/>
      <c r="BM390" s="92"/>
      <c r="BN390" s="92"/>
      <c r="BO390" s="989"/>
      <c r="BP390" s="989"/>
      <c r="BQ390" s="989"/>
      <c r="BR390" s="989"/>
      <c r="BS390" s="305"/>
    </row>
    <row r="391" spans="1:71" s="300" customFormat="1" ht="15" hidden="1" outlineLevel="1">
      <c r="A391" s="110" t="s">
        <v>749</v>
      </c>
      <c r="B391" s="126"/>
      <c r="C391" s="984">
        <v>-1</v>
      </c>
      <c r="D391" s="984">
        <v>1</v>
      </c>
      <c r="E391" s="984">
        <v>-1</v>
      </c>
      <c r="F391" s="984">
        <v>1</v>
      </c>
      <c r="G391" s="984">
        <v>0</v>
      </c>
      <c r="H391" s="468"/>
      <c r="I391" s="468"/>
      <c r="J391" s="893">
        <v>1</v>
      </c>
      <c r="K391" s="468"/>
      <c r="L391" s="985">
        <f>SUM(H391,I391,J391,K391)</f>
        <v>1</v>
      </c>
      <c r="M391" s="468"/>
      <c r="N391" s="468"/>
      <c r="O391" s="468"/>
      <c r="P391" s="468"/>
      <c r="Q391" s="985">
        <f>SUM(M391,N391,O391,P391)</f>
        <v>0</v>
      </c>
      <c r="R391" s="893">
        <v>0</v>
      </c>
      <c r="S391" s="893">
        <v>0</v>
      </c>
      <c r="T391" s="893">
        <v>2</v>
      </c>
      <c r="U391" s="893">
        <v>1</v>
      </c>
      <c r="V391" s="985">
        <f>SUM(R391,S391,T391,U391)</f>
        <v>3</v>
      </c>
      <c r="W391" s="468"/>
      <c r="X391" s="468"/>
      <c r="Y391" s="468"/>
      <c r="Z391" s="468"/>
      <c r="AA391" s="983"/>
      <c r="AB391" s="468"/>
      <c r="AC391" s="468"/>
      <c r="AD391" s="468"/>
      <c r="AE391" s="468"/>
      <c r="AF391" s="983"/>
      <c r="AG391" s="468"/>
      <c r="AH391" s="468"/>
      <c r="AI391" s="468"/>
      <c r="AJ391" s="468"/>
      <c r="AK391" s="983"/>
      <c r="AL391" s="468"/>
      <c r="AM391" s="468"/>
      <c r="AN391" s="468"/>
      <c r="AO391" s="468"/>
      <c r="AP391" s="983"/>
      <c r="AQ391" s="468"/>
      <c r="AR391" s="468"/>
      <c r="AS391" s="468"/>
      <c r="AT391" s="468"/>
      <c r="AU391" s="983"/>
      <c r="AV391" s="468"/>
      <c r="AW391" s="468"/>
      <c r="AX391" s="468"/>
      <c r="AY391" s="468"/>
      <c r="AZ391" s="983"/>
      <c r="BA391" s="468"/>
      <c r="BB391" s="468"/>
      <c r="BC391" s="468"/>
      <c r="BD391" s="468"/>
      <c r="BE391" s="983"/>
      <c r="BF391" s="468"/>
      <c r="BG391" s="468"/>
      <c r="BH391" s="760"/>
      <c r="BI391" s="115"/>
      <c r="BJ391" s="995"/>
      <c r="BK391" s="115"/>
      <c r="BL391" s="115"/>
      <c r="BM391" s="115"/>
      <c r="BN391" s="115"/>
      <c r="BO391" s="995"/>
      <c r="BP391" s="995"/>
      <c r="BQ391" s="995"/>
      <c r="BR391" s="995"/>
      <c r="BS391" s="305"/>
    </row>
    <row r="392" spans="1:71" s="300" customFormat="1" ht="15" hidden="1" outlineLevel="1">
      <c r="A392" s="109" t="s">
        <v>328</v>
      </c>
      <c r="B392" s="391"/>
      <c r="C392" s="999">
        <f t="shared" si="1219" ref="C392:AK392">C385+C390+C391</f>
        <v>25970</v>
      </c>
      <c r="D392" s="999">
        <f t="shared" si="1219"/>
        <v>25908</v>
      </c>
      <c r="E392" s="999">
        <f t="shared" si="1219"/>
        <v>25979</v>
      </c>
      <c r="F392" s="999">
        <f t="shared" si="1219"/>
        <v>27027</v>
      </c>
      <c r="G392" s="999">
        <f t="shared" si="1219"/>
        <v>28164</v>
      </c>
      <c r="H392" s="57">
        <f t="shared" si="1219"/>
        <v>6969</v>
      </c>
      <c r="I392" s="57">
        <f t="shared" si="1219"/>
        <v>7547</v>
      </c>
      <c r="J392" s="57">
        <f t="shared" si="1219"/>
        <v>7806</v>
      </c>
      <c r="K392" s="57">
        <f t="shared" si="1219"/>
        <v>7292</v>
      </c>
      <c r="L392" s="999">
        <f t="shared" si="1219"/>
        <v>29614</v>
      </c>
      <c r="M392" s="57">
        <f t="shared" si="1219"/>
        <v>7306</v>
      </c>
      <c r="N392" s="57">
        <f t="shared" si="1219"/>
        <v>7877</v>
      </c>
      <c r="O392" s="57">
        <f t="shared" si="1219"/>
        <v>8137</v>
      </c>
      <c r="P392" s="57">
        <f t="shared" si="1219"/>
        <v>7551</v>
      </c>
      <c r="Q392" s="999">
        <f t="shared" si="1219"/>
        <v>30871</v>
      </c>
      <c r="R392" s="57">
        <f t="shared" si="1219"/>
        <v>7515</v>
      </c>
      <c r="S392" s="57">
        <f t="shared" si="1219"/>
        <v>8051</v>
      </c>
      <c r="T392" s="57">
        <f t="shared" si="1219"/>
        <v>8311</v>
      </c>
      <c r="U392" s="57">
        <f t="shared" si="1219"/>
        <v>7723</v>
      </c>
      <c r="V392" s="999">
        <f t="shared" si="1219"/>
        <v>31600</v>
      </c>
      <c r="W392" s="57">
        <f t="shared" si="1219"/>
        <v>7723</v>
      </c>
      <c r="X392" s="57">
        <f t="shared" si="1219"/>
        <v>8289</v>
      </c>
      <c r="Y392" s="57">
        <f t="shared" si="1219"/>
        <v>8583</v>
      </c>
      <c r="Z392" s="57">
        <f t="shared" si="1219"/>
        <v>8147</v>
      </c>
      <c r="AA392" s="999">
        <f t="shared" si="1219"/>
        <v>32742</v>
      </c>
      <c r="AB392" s="57">
        <f t="shared" si="1219"/>
        <v>8131</v>
      </c>
      <c r="AC392" s="57">
        <f t="shared" si="1219"/>
        <v>8838</v>
      </c>
      <c r="AD392" s="57">
        <f t="shared" si="1219"/>
        <v>9158</v>
      </c>
      <c r="AE392" s="57">
        <f t="shared" si="1219"/>
        <v>8859</v>
      </c>
      <c r="AF392" s="999">
        <f t="shared" si="1219"/>
        <v>34986</v>
      </c>
      <c r="AG392" s="57">
        <f t="shared" si="1219"/>
        <v>8695</v>
      </c>
      <c r="AH392" s="57">
        <f t="shared" si="1219"/>
        <v>9393</v>
      </c>
      <c r="AI392" s="57">
        <f t="shared" si="1219"/>
        <v>9676</v>
      </c>
      <c r="AJ392" s="57">
        <f t="shared" si="1219"/>
        <v>9190</v>
      </c>
      <c r="AK392" s="999">
        <f t="shared" si="1219"/>
        <v>36954</v>
      </c>
      <c r="AL392" s="57">
        <f>AL385+AL390+AL391</f>
        <v>8971</v>
      </c>
      <c r="AM392" s="57">
        <f>AM385+AM390+AM391</f>
        <v>9639</v>
      </c>
      <c r="AN392" s="57">
        <f>AN385+AN390+AN391</f>
        <v>9880</v>
      </c>
      <c r="AO392" s="57">
        <f t="shared" si="1220" ref="AO392:AP392">AO385+AO390+AO391</f>
        <v>9168</v>
      </c>
      <c r="AP392" s="999">
        <f t="shared" si="1220"/>
        <v>37658</v>
      </c>
      <c r="AQ392" s="57">
        <f t="shared" si="1221" ref="AQ392:AV392">AQ385+AQ390+AQ391</f>
        <v>10351</v>
      </c>
      <c r="AR392" s="57">
        <f t="shared" si="1221"/>
        <v>11015</v>
      </c>
      <c r="AS392" s="57">
        <f t="shared" si="1221"/>
        <v>11617</v>
      </c>
      <c r="AT392" s="57">
        <f t="shared" si="1221"/>
        <v>11017</v>
      </c>
      <c r="AU392" s="999">
        <f t="shared" si="1221"/>
        <v>44000</v>
      </c>
      <c r="AV392" s="57">
        <f t="shared" si="1221"/>
        <v>11391</v>
      </c>
      <c r="AW392" s="57">
        <f t="shared" si="1222" ref="AW392:BB392">AW385+AW390+AW391</f>
        <v>12179</v>
      </c>
      <c r="AX392" s="57">
        <f t="shared" si="1222"/>
        <v>12694</v>
      </c>
      <c r="AY392" s="57">
        <f t="shared" si="1222"/>
        <v>12222</v>
      </c>
      <c r="AZ392" s="999">
        <f t="shared" si="1222"/>
        <v>48486</v>
      </c>
      <c r="BA392" s="57">
        <f t="shared" si="1222"/>
        <v>12402</v>
      </c>
      <c r="BB392" s="57">
        <f t="shared" si="1222"/>
        <v>13278</v>
      </c>
      <c r="BC392" s="57">
        <f t="shared" si="1223" ref="BC392:BH392">BC385+BC390+BC391</f>
        <v>13962</v>
      </c>
      <c r="BD392" s="57">
        <f t="shared" si="1223"/>
        <v>13368</v>
      </c>
      <c r="BE392" s="999">
        <f t="shared" si="1223"/>
        <v>53010</v>
      </c>
      <c r="BF392" s="57">
        <f t="shared" si="1223"/>
        <v>13810</v>
      </c>
      <c r="BG392" s="57">
        <f t="shared" si="1223"/>
        <v>14955</v>
      </c>
      <c r="BH392" s="745">
        <f t="shared" si="1223"/>
        <v>15385</v>
      </c>
      <c r="BI392" s="92"/>
      <c r="BJ392" s="989"/>
      <c r="BK392" s="92"/>
      <c r="BL392" s="92"/>
      <c r="BM392" s="92"/>
      <c r="BN392" s="92"/>
      <c r="BO392" s="989"/>
      <c r="BP392" s="989"/>
      <c r="BQ392" s="989"/>
      <c r="BR392" s="989"/>
      <c r="BS392" s="305"/>
    </row>
    <row r="393" spans="1:71" s="51" customFormat="1" ht="15" collapsed="1">
      <c r="A393" s="220"/>
      <c r="B393" s="234"/>
      <c r="C393" s="1035"/>
      <c r="D393" s="1035"/>
      <c r="E393" s="1035"/>
      <c r="F393" s="1035"/>
      <c r="G393" s="1035"/>
      <c r="H393" s="221"/>
      <c r="I393" s="221"/>
      <c r="J393" s="221"/>
      <c r="K393" s="221"/>
      <c r="L393" s="1035"/>
      <c r="M393" s="221"/>
      <c r="N393" s="221"/>
      <c r="O393" s="221"/>
      <c r="P393" s="221"/>
      <c r="Q393" s="1035"/>
      <c r="R393" s="221"/>
      <c r="S393" s="221"/>
      <c r="T393" s="221"/>
      <c r="U393" s="221"/>
      <c r="V393" s="1035"/>
      <c r="W393" s="221"/>
      <c r="X393" s="221"/>
      <c r="Y393" s="221"/>
      <c r="Z393" s="221"/>
      <c r="AA393" s="1035"/>
      <c r="AB393" s="221"/>
      <c r="AC393" s="221"/>
      <c r="AD393" s="221"/>
      <c r="AE393" s="221"/>
      <c r="AF393" s="1035"/>
      <c r="AG393" s="221"/>
      <c r="AH393" s="221"/>
      <c r="AI393" s="221"/>
      <c r="AJ393" s="221"/>
      <c r="AK393" s="1035"/>
      <c r="AL393" s="221"/>
      <c r="AM393" s="221"/>
      <c r="AN393" s="221"/>
      <c r="AO393" s="221"/>
      <c r="AP393" s="1035"/>
      <c r="AQ393" s="221"/>
      <c r="AR393" s="221"/>
      <c r="AS393" s="221"/>
      <c r="AT393" s="221"/>
      <c r="AU393" s="1035"/>
      <c r="AV393" s="221"/>
      <c r="AW393" s="221"/>
      <c r="AX393" s="221"/>
      <c r="AY393" s="221"/>
      <c r="AZ393" s="1035"/>
      <c r="BA393" s="221"/>
      <c r="BB393" s="221"/>
      <c r="BC393" s="221"/>
      <c r="BD393" s="221"/>
      <c r="BE393" s="1035"/>
      <c r="BF393" s="221"/>
      <c r="BG393" s="221"/>
      <c r="BH393" s="757"/>
      <c r="BI393" s="221"/>
      <c r="BJ393" s="1035"/>
      <c r="BK393" s="221"/>
      <c r="BL393" s="221"/>
      <c r="BM393" s="221"/>
      <c r="BN393" s="221"/>
      <c r="BO393" s="1035"/>
      <c r="BP393" s="1035"/>
      <c r="BQ393" s="1035"/>
      <c r="BR393" s="1035"/>
      <c r="BS393" s="57"/>
    </row>
    <row r="394" spans="1:71" s="17" customFormat="1" ht="15">
      <c r="A394" s="818" t="s">
        <v>390</v>
      </c>
      <c r="B394" s="818"/>
      <c r="C394" s="837"/>
      <c r="D394" s="837"/>
      <c r="E394" s="837"/>
      <c r="F394" s="837"/>
      <c r="G394" s="837"/>
      <c r="H394" s="837"/>
      <c r="I394" s="837"/>
      <c r="J394" s="837"/>
      <c r="K394" s="837"/>
      <c r="L394" s="837"/>
      <c r="M394" s="837"/>
      <c r="N394" s="837"/>
      <c r="O394" s="837"/>
      <c r="P394" s="837"/>
      <c r="Q394" s="837"/>
      <c r="R394" s="837"/>
      <c r="S394" s="837"/>
      <c r="T394" s="837"/>
      <c r="U394" s="837"/>
      <c r="V394" s="837"/>
      <c r="W394" s="837"/>
      <c r="X394" s="837"/>
      <c r="Y394" s="837"/>
      <c r="Z394" s="837"/>
      <c r="AA394" s="837"/>
      <c r="AB394" s="837"/>
      <c r="AC394" s="837"/>
      <c r="AD394" s="837"/>
      <c r="AE394" s="837"/>
      <c r="AF394" s="837"/>
      <c r="AG394" s="837"/>
      <c r="AH394" s="837"/>
      <c r="AI394" s="837"/>
      <c r="AJ394" s="837"/>
      <c r="AK394" s="837"/>
      <c r="AL394" s="837"/>
      <c r="AM394" s="837"/>
      <c r="AN394" s="837"/>
      <c r="AO394" s="837"/>
      <c r="AP394" s="837"/>
      <c r="AQ394" s="837"/>
      <c r="AR394" s="837"/>
      <c r="AS394" s="837"/>
      <c r="AT394" s="837"/>
      <c r="AU394" s="837"/>
      <c r="AV394" s="837"/>
      <c r="AW394" s="837"/>
      <c r="AX394" s="837"/>
      <c r="AY394" s="837"/>
      <c r="AZ394" s="837"/>
      <c r="BA394" s="837"/>
      <c r="BB394" s="837"/>
      <c r="BC394" s="837"/>
      <c r="BD394" s="837"/>
      <c r="BE394" s="837"/>
      <c r="BF394" s="837"/>
      <c r="BG394" s="837"/>
      <c r="BH394" s="838"/>
      <c r="BI394" s="837"/>
      <c r="BJ394" s="837"/>
      <c r="BK394" s="837"/>
      <c r="BL394" s="837"/>
      <c r="BM394" s="837"/>
      <c r="BN394" s="837"/>
      <c r="BO394" s="837"/>
      <c r="BP394" s="837"/>
      <c r="BQ394" s="837"/>
      <c r="BR394" s="837"/>
      <c r="BS394" s="457"/>
    </row>
    <row r="395" spans="1:71" s="300" customFormat="1" ht="15" hidden="1" outlineLevel="1">
      <c r="A395" s="106" t="s">
        <v>395</v>
      </c>
      <c r="B395" s="233"/>
      <c r="C395" s="988">
        <v>18463</v>
      </c>
      <c r="D395" s="988">
        <f>17484+640</f>
        <v>18124</v>
      </c>
      <c r="E395" s="988">
        <v>17784</v>
      </c>
      <c r="F395" s="988">
        <v>19084</v>
      </c>
      <c r="G395" s="988">
        <v>19362</v>
      </c>
      <c r="H395" s="897">
        <v>19413</v>
      </c>
      <c r="I395" s="897">
        <v>19605</v>
      </c>
      <c r="J395" s="897">
        <v>19751</v>
      </c>
      <c r="K395" s="897">
        <v>19916</v>
      </c>
      <c r="L395" s="989"/>
      <c r="M395" s="897">
        <v>20036</v>
      </c>
      <c r="N395" s="897">
        <v>20258</v>
      </c>
      <c r="O395" s="897">
        <v>20367</v>
      </c>
      <c r="P395" s="897">
        <v>20326</v>
      </c>
      <c r="Q395" s="989"/>
      <c r="R395" s="897">
        <v>20145</v>
      </c>
      <c r="S395" s="897">
        <v>20061</v>
      </c>
      <c r="T395" s="897">
        <v>19852</v>
      </c>
      <c r="U395" s="897">
        <v>19742</v>
      </c>
      <c r="V395" s="989"/>
      <c r="W395" s="897">
        <v>19565</v>
      </c>
      <c r="X395" s="897">
        <v>19548</v>
      </c>
      <c r="Y395" s="897">
        <v>19513</v>
      </c>
      <c r="Z395" s="897">
        <v>19580</v>
      </c>
      <c r="AA395" s="989"/>
      <c r="AB395" s="897">
        <v>19617</v>
      </c>
      <c r="AC395" s="897">
        <v>19810</v>
      </c>
      <c r="AD395" s="897">
        <v>19912</v>
      </c>
      <c r="AE395" s="897">
        <v>20104</v>
      </c>
      <c r="AF395" s="989"/>
      <c r="AG395" s="897">
        <v>20145</v>
      </c>
      <c r="AH395" s="897">
        <v>20301</v>
      </c>
      <c r="AI395" s="897">
        <v>20339</v>
      </c>
      <c r="AJ395" s="897">
        <v>20398</v>
      </c>
      <c r="AK395" s="993">
        <f t="shared" si="1224" ref="AK395:AK421">AJ395</f>
        <v>20398</v>
      </c>
      <c r="AL395" s="897">
        <v>20323</v>
      </c>
      <c r="AM395" s="897">
        <v>20464</v>
      </c>
      <c r="AN395" s="897">
        <v>21900</v>
      </c>
      <c r="AO395" s="897">
        <v>21809</v>
      </c>
      <c r="AP395" s="993">
        <f>AO395</f>
        <v>21809</v>
      </c>
      <c r="AQ395" s="897">
        <v>25453</v>
      </c>
      <c r="AR395" s="897">
        <v>25614</v>
      </c>
      <c r="AS395" s="897">
        <v>25654</v>
      </c>
      <c r="AT395" s="897">
        <v>25916</v>
      </c>
      <c r="AU395" s="993">
        <f>AT395</f>
        <v>25916</v>
      </c>
      <c r="AV395" s="897">
        <v>26071</v>
      </c>
      <c r="AW395" s="897">
        <v>26192</v>
      </c>
      <c r="AX395" s="897">
        <v>26131</v>
      </c>
      <c r="AY395" s="897">
        <v>26034</v>
      </c>
      <c r="AZ395" s="993">
        <f>AY395</f>
        <v>26034</v>
      </c>
      <c r="BA395" s="897">
        <v>25733</v>
      </c>
      <c r="BB395" s="897">
        <v>25520</v>
      </c>
      <c r="BC395" s="897">
        <v>25376</v>
      </c>
      <c r="BD395" s="897">
        <v>25283</v>
      </c>
      <c r="BE395" s="993">
        <f>BD395</f>
        <v>25283</v>
      </c>
      <c r="BF395" s="897">
        <v>25207</v>
      </c>
      <c r="BG395" s="897">
        <v>25124</v>
      </c>
      <c r="BH395" s="898">
        <v>24998</v>
      </c>
      <c r="BI395" s="92"/>
      <c r="BJ395" s="989"/>
      <c r="BK395" s="92"/>
      <c r="BL395" s="92"/>
      <c r="BM395" s="92"/>
      <c r="BN395" s="92"/>
      <c r="BO395" s="989"/>
      <c r="BP395" s="989"/>
      <c r="BQ395" s="989"/>
      <c r="BR395" s="989"/>
      <c r="BS395" s="305"/>
    </row>
    <row r="396" spans="1:71" s="300" customFormat="1" ht="15" hidden="1" outlineLevel="1">
      <c r="A396" s="106" t="s">
        <v>396</v>
      </c>
      <c r="B396" s="233"/>
      <c r="C396" s="988">
        <v>6973</v>
      </c>
      <c r="D396" s="988">
        <v>6690</v>
      </c>
      <c r="E396" s="988">
        <v>6369</v>
      </c>
      <c r="F396" s="988">
        <v>6213</v>
      </c>
      <c r="G396" s="988">
        <v>6077</v>
      </c>
      <c r="H396" s="897">
        <v>6063</v>
      </c>
      <c r="I396" s="897">
        <v>6069</v>
      </c>
      <c r="J396" s="897">
        <v>6082</v>
      </c>
      <c r="K396" s="897">
        <v>6106</v>
      </c>
      <c r="L396" s="993">
        <f t="shared" si="1225" ref="L396:L421">K396</f>
        <v>6106</v>
      </c>
      <c r="M396" s="897">
        <v>6114</v>
      </c>
      <c r="N396" s="897">
        <v>6141</v>
      </c>
      <c r="O396" s="897">
        <v>6163</v>
      </c>
      <c r="P396" s="897">
        <v>6174</v>
      </c>
      <c r="Q396" s="993">
        <f t="shared" si="1226" ref="Q396:Q421">P396</f>
        <v>6174</v>
      </c>
      <c r="R396" s="897">
        <v>6176</v>
      </c>
      <c r="S396" s="897">
        <v>6158</v>
      </c>
      <c r="T396" s="897">
        <v>6131</v>
      </c>
      <c r="U396" s="897">
        <v>6120</v>
      </c>
      <c r="V396" s="993">
        <f t="shared" si="1227" ref="V396:V421">U396</f>
        <v>6120</v>
      </c>
      <c r="W396" s="897">
        <v>6090</v>
      </c>
      <c r="X396" s="897">
        <v>6075</v>
      </c>
      <c r="Y396" s="897">
        <v>6071</v>
      </c>
      <c r="Z396" s="932">
        <v>6088</v>
      </c>
      <c r="AA396" s="993">
        <f t="shared" si="1228" ref="AA396:AA421">Z396</f>
        <v>6088</v>
      </c>
      <c r="AB396" s="897">
        <v>6093</v>
      </c>
      <c r="AC396" s="897">
        <v>6121</v>
      </c>
      <c r="AD396" s="897">
        <v>6145</v>
      </c>
      <c r="AE396" s="897">
        <v>6186</v>
      </c>
      <c r="AF396" s="993">
        <f t="shared" si="1229" ref="AF396:AF421">AE396</f>
        <v>6186</v>
      </c>
      <c r="AG396" s="897">
        <v>6198</v>
      </c>
      <c r="AH396" s="897">
        <v>6221</v>
      </c>
      <c r="AI396" s="897">
        <v>6237</v>
      </c>
      <c r="AJ396" s="897">
        <v>6254</v>
      </c>
      <c r="AK396" s="993">
        <f t="shared" si="1224"/>
        <v>6254</v>
      </c>
      <c r="AL396" s="897">
        <v>6254</v>
      </c>
      <c r="AM396" s="897">
        <v>6284</v>
      </c>
      <c r="AN396" s="897">
        <v>6414</v>
      </c>
      <c r="AO396" s="897">
        <v>6427</v>
      </c>
      <c r="AP396" s="993">
        <f>AO396</f>
        <v>6427</v>
      </c>
      <c r="AQ396" s="897">
        <v>7090</v>
      </c>
      <c r="AR396" s="897">
        <v>7111</v>
      </c>
      <c r="AS396" s="897">
        <v>7138</v>
      </c>
      <c r="AT396" s="897">
        <v>7159</v>
      </c>
      <c r="AU396" s="993">
        <f>AT396</f>
        <v>7159</v>
      </c>
      <c r="AV396" s="897">
        <v>7165</v>
      </c>
      <c r="AW396" s="897">
        <v>7197</v>
      </c>
      <c r="AX396" s="897">
        <v>7237</v>
      </c>
      <c r="AY396" s="897">
        <v>7260</v>
      </c>
      <c r="AZ396" s="993">
        <f>AY396</f>
        <v>7260</v>
      </c>
      <c r="BA396" s="897">
        <v>7262</v>
      </c>
      <c r="BB396" s="897">
        <v>7268</v>
      </c>
      <c r="BC396" s="897">
        <v>7297</v>
      </c>
      <c r="BD396" s="897">
        <v>7338</v>
      </c>
      <c r="BE396" s="993">
        <f>BD396</f>
        <v>7338</v>
      </c>
      <c r="BF396" s="897">
        <v>7364</v>
      </c>
      <c r="BG396" s="897">
        <v>7426</v>
      </c>
      <c r="BH396" s="898">
        <v>7483</v>
      </c>
      <c r="BI396" s="92"/>
      <c r="BJ396" s="989"/>
      <c r="BK396" s="92"/>
      <c r="BL396" s="92"/>
      <c r="BM396" s="92"/>
      <c r="BN396" s="92"/>
      <c r="BO396" s="989"/>
      <c r="BP396" s="989"/>
      <c r="BQ396" s="989"/>
      <c r="BR396" s="989"/>
      <c r="BS396" s="305"/>
    </row>
    <row r="397" spans="1:71" s="300" customFormat="1" ht="15" hidden="1" outlineLevel="1">
      <c r="A397" s="225" t="s">
        <v>391</v>
      </c>
      <c r="B397" s="233"/>
      <c r="C397" s="989"/>
      <c r="D397" s="989"/>
      <c r="E397" s="988">
        <v>771</v>
      </c>
      <c r="F397" s="988">
        <v>752</v>
      </c>
      <c r="G397" s="988">
        <v>742</v>
      </c>
      <c r="H397" s="897">
        <v>740</v>
      </c>
      <c r="I397" s="897">
        <v>738</v>
      </c>
      <c r="J397" s="897">
        <v>737</v>
      </c>
      <c r="K397" s="897">
        <v>738</v>
      </c>
      <c r="L397" s="993">
        <f t="shared" si="1225"/>
        <v>738</v>
      </c>
      <c r="M397" s="897">
        <v>738</v>
      </c>
      <c r="N397" s="897">
        <v>737</v>
      </c>
      <c r="O397" s="897">
        <v>736</v>
      </c>
      <c r="P397" s="897">
        <v>736.64300000000003</v>
      </c>
      <c r="Q397" s="993">
        <f t="shared" si="1226"/>
        <v>736.64300000000003</v>
      </c>
      <c r="R397" s="897">
        <v>732</v>
      </c>
      <c r="S397" s="897">
        <v>726.49800000000005</v>
      </c>
      <c r="T397" s="897">
        <v>720</v>
      </c>
      <c r="U397" s="897">
        <v>716</v>
      </c>
      <c r="V397" s="993">
        <f t="shared" si="1227"/>
        <v>716</v>
      </c>
      <c r="W397" s="897">
        <v>710</v>
      </c>
      <c r="X397" s="897">
        <v>703</v>
      </c>
      <c r="Y397" s="897">
        <v>697</v>
      </c>
      <c r="Z397" s="932">
        <v>694</v>
      </c>
      <c r="AA397" s="993">
        <f t="shared" si="1228"/>
        <v>694</v>
      </c>
      <c r="AB397" s="897">
        <v>692</v>
      </c>
      <c r="AC397" s="897">
        <v>688</v>
      </c>
      <c r="AD397" s="897">
        <v>683</v>
      </c>
      <c r="AE397" s="897">
        <v>681</v>
      </c>
      <c r="AF397" s="993">
        <f t="shared" si="1229"/>
        <v>681</v>
      </c>
      <c r="AG397" s="897">
        <v>676</v>
      </c>
      <c r="AH397" s="897">
        <v>670</v>
      </c>
      <c r="AI397" s="897">
        <v>663</v>
      </c>
      <c r="AJ397" s="897">
        <v>658</v>
      </c>
      <c r="AK397" s="993">
        <f t="shared" si="1224"/>
        <v>658</v>
      </c>
      <c r="AL397" s="897">
        <v>653</v>
      </c>
      <c r="AM397" s="897">
        <v>649</v>
      </c>
      <c r="AN397" s="897">
        <v>643</v>
      </c>
      <c r="AO397" s="92"/>
      <c r="AP397" s="989"/>
      <c r="AQ397" s="92"/>
      <c r="AR397" s="92"/>
      <c r="AS397" s="92"/>
      <c r="AT397" s="92"/>
      <c r="AU397" s="989"/>
      <c r="AV397" s="92"/>
      <c r="AW397" s="92"/>
      <c r="AX397" s="92"/>
      <c r="AY397" s="92"/>
      <c r="AZ397" s="989"/>
      <c r="BA397" s="92"/>
      <c r="BB397" s="92"/>
      <c r="BC397" s="92"/>
      <c r="BD397" s="92"/>
      <c r="BE397" s="989"/>
      <c r="BF397" s="92"/>
      <c r="BG397" s="92"/>
      <c r="BH397" s="464"/>
      <c r="BI397" s="92"/>
      <c r="BJ397" s="989"/>
      <c r="BK397" s="92"/>
      <c r="BL397" s="92"/>
      <c r="BM397" s="92"/>
      <c r="BN397" s="92"/>
      <c r="BO397" s="989"/>
      <c r="BP397" s="989"/>
      <c r="BQ397" s="989"/>
      <c r="BR397" s="989"/>
      <c r="BS397" s="305"/>
    </row>
    <row r="398" spans="1:71" s="300" customFormat="1" ht="15" hidden="1" outlineLevel="1">
      <c r="A398" s="225" t="s">
        <v>392</v>
      </c>
      <c r="B398" s="233"/>
      <c r="C398" s="989"/>
      <c r="D398" s="989"/>
      <c r="E398" s="988">
        <v>1262</v>
      </c>
      <c r="F398" s="988">
        <v>1362</v>
      </c>
      <c r="G398" s="988">
        <v>1385</v>
      </c>
      <c r="H398" s="897">
        <v>1402</v>
      </c>
      <c r="I398" s="897">
        <v>1421</v>
      </c>
      <c r="J398" s="897">
        <v>1447</v>
      </c>
      <c r="K398" s="897">
        <v>1466</v>
      </c>
      <c r="L398" s="993">
        <f t="shared" si="1225"/>
        <v>1466</v>
      </c>
      <c r="M398" s="897">
        <v>1494</v>
      </c>
      <c r="N398" s="897">
        <v>1518</v>
      </c>
      <c r="O398" s="897">
        <v>1550</v>
      </c>
      <c r="P398" s="897">
        <v>1555.2429999999999</v>
      </c>
      <c r="Q398" s="993">
        <f t="shared" si="1226"/>
        <v>1555.2429999999999</v>
      </c>
      <c r="R398" s="897">
        <v>1556</v>
      </c>
      <c r="S398" s="897">
        <v>1554.229</v>
      </c>
      <c r="T398" s="897">
        <v>1557</v>
      </c>
      <c r="U398" s="897">
        <v>1568</v>
      </c>
      <c r="V398" s="993">
        <f t="shared" si="1227"/>
        <v>1568</v>
      </c>
      <c r="W398" s="897">
        <v>1563</v>
      </c>
      <c r="X398" s="897">
        <v>1564</v>
      </c>
      <c r="Y398" s="897">
        <v>1578</v>
      </c>
      <c r="Z398" s="932">
        <v>1588</v>
      </c>
      <c r="AA398" s="993">
        <f t="shared" si="1228"/>
        <v>1588</v>
      </c>
      <c r="AB398" s="897">
        <v>1599</v>
      </c>
      <c r="AC398" s="897">
        <v>1612</v>
      </c>
      <c r="AD398" s="897">
        <v>1626</v>
      </c>
      <c r="AE398" s="897">
        <v>1642</v>
      </c>
      <c r="AF398" s="993">
        <f t="shared" si="1229"/>
        <v>1642</v>
      </c>
      <c r="AG398" s="897">
        <v>1655</v>
      </c>
      <c r="AH398" s="897">
        <v>1668</v>
      </c>
      <c r="AI398" s="897">
        <v>1679</v>
      </c>
      <c r="AJ398" s="897">
        <v>1683</v>
      </c>
      <c r="AK398" s="993">
        <f t="shared" si="1224"/>
        <v>1683</v>
      </c>
      <c r="AL398" s="897">
        <v>1684</v>
      </c>
      <c r="AM398" s="897">
        <v>1693</v>
      </c>
      <c r="AN398" s="897">
        <v>1751</v>
      </c>
      <c r="AO398" s="92"/>
      <c r="AP398" s="989"/>
      <c r="AQ398" s="92"/>
      <c r="AR398" s="92"/>
      <c r="AS398" s="92"/>
      <c r="AT398" s="92"/>
      <c r="AU398" s="989"/>
      <c r="AV398" s="92"/>
      <c r="AW398" s="92"/>
      <c r="AX398" s="92"/>
      <c r="AY398" s="92"/>
      <c r="AZ398" s="989"/>
      <c r="BA398" s="92"/>
      <c r="BB398" s="92"/>
      <c r="BC398" s="92"/>
      <c r="BD398" s="92"/>
      <c r="BE398" s="989"/>
      <c r="BF398" s="92"/>
      <c r="BG398" s="92"/>
      <c r="BH398" s="464"/>
      <c r="BI398" s="92"/>
      <c r="BJ398" s="989"/>
      <c r="BK398" s="92"/>
      <c r="BL398" s="92"/>
      <c r="BM398" s="92"/>
      <c r="BN398" s="92"/>
      <c r="BO398" s="989"/>
      <c r="BP398" s="989"/>
      <c r="BQ398" s="989"/>
      <c r="BR398" s="989"/>
      <c r="BS398" s="305"/>
    </row>
    <row r="399" spans="1:71" s="300" customFormat="1" ht="15" hidden="1" outlineLevel="1">
      <c r="A399" s="225" t="s">
        <v>393</v>
      </c>
      <c r="B399" s="233"/>
      <c r="C399" s="989"/>
      <c r="D399" s="989"/>
      <c r="E399" s="988">
        <v>615</v>
      </c>
      <c r="F399" s="988">
        <v>641</v>
      </c>
      <c r="G399" s="988">
        <v>645</v>
      </c>
      <c r="H399" s="897">
        <v>646</v>
      </c>
      <c r="I399" s="897">
        <v>648</v>
      </c>
      <c r="J399" s="897">
        <v>652</v>
      </c>
      <c r="K399" s="897">
        <v>655</v>
      </c>
      <c r="L399" s="993">
        <f t="shared" si="1225"/>
        <v>655</v>
      </c>
      <c r="M399" s="897">
        <v>658</v>
      </c>
      <c r="N399" s="897">
        <v>662</v>
      </c>
      <c r="O399" s="897">
        <v>665</v>
      </c>
      <c r="P399" s="897">
        <v>668.09299999999996</v>
      </c>
      <c r="Q399" s="993">
        <f t="shared" si="1226"/>
        <v>668.09299999999996</v>
      </c>
      <c r="R399" s="897">
        <v>667</v>
      </c>
      <c r="S399" s="897">
        <v>666.78300000000002</v>
      </c>
      <c r="T399" s="897">
        <v>665</v>
      </c>
      <c r="U399" s="897">
        <v>666</v>
      </c>
      <c r="V399" s="993">
        <f t="shared" si="1227"/>
        <v>666</v>
      </c>
      <c r="W399" s="897">
        <v>663</v>
      </c>
      <c r="X399" s="897">
        <v>662</v>
      </c>
      <c r="Y399" s="897">
        <v>662</v>
      </c>
      <c r="Z399" s="932">
        <v>663</v>
      </c>
      <c r="AA399" s="993">
        <f t="shared" si="1228"/>
        <v>663</v>
      </c>
      <c r="AB399" s="897">
        <v>663</v>
      </c>
      <c r="AC399" s="897">
        <v>664</v>
      </c>
      <c r="AD399" s="897">
        <v>665</v>
      </c>
      <c r="AE399" s="897">
        <v>668</v>
      </c>
      <c r="AF399" s="993">
        <f t="shared" si="1229"/>
        <v>668</v>
      </c>
      <c r="AG399" s="897">
        <v>668</v>
      </c>
      <c r="AH399" s="897">
        <v>670</v>
      </c>
      <c r="AI399" s="897">
        <v>673</v>
      </c>
      <c r="AJ399" s="897">
        <v>676</v>
      </c>
      <c r="AK399" s="993">
        <f t="shared" si="1224"/>
        <v>676</v>
      </c>
      <c r="AL399" s="897">
        <v>676</v>
      </c>
      <c r="AM399" s="897">
        <v>688</v>
      </c>
      <c r="AN399" s="897">
        <v>705</v>
      </c>
      <c r="AO399" s="92"/>
      <c r="AP399" s="989"/>
      <c r="AQ399" s="92"/>
      <c r="AR399" s="92"/>
      <c r="AS399" s="92"/>
      <c r="AT399" s="92"/>
      <c r="AU399" s="989"/>
      <c r="AV399" s="92"/>
      <c r="AW399" s="92"/>
      <c r="AX399" s="92"/>
      <c r="AY399" s="92"/>
      <c r="AZ399" s="989"/>
      <c r="BA399" s="92"/>
      <c r="BB399" s="92"/>
      <c r="BC399" s="92"/>
      <c r="BD399" s="92"/>
      <c r="BE399" s="989"/>
      <c r="BF399" s="92"/>
      <c r="BG399" s="92"/>
      <c r="BH399" s="464"/>
      <c r="BI399" s="92"/>
      <c r="BJ399" s="989"/>
      <c r="BK399" s="92"/>
      <c r="BL399" s="92"/>
      <c r="BM399" s="92"/>
      <c r="BN399" s="92"/>
      <c r="BO399" s="989"/>
      <c r="BP399" s="989"/>
      <c r="BQ399" s="989"/>
      <c r="BR399" s="989"/>
      <c r="BS399" s="305"/>
    </row>
    <row r="400" spans="1:71" s="300" customFormat="1" ht="15" hidden="1" outlineLevel="1">
      <c r="A400" s="165" t="s">
        <v>394</v>
      </c>
      <c r="B400" s="113"/>
      <c r="C400" s="995"/>
      <c r="D400" s="995"/>
      <c r="E400" s="990">
        <v>1257</v>
      </c>
      <c r="F400" s="990">
        <v>1289</v>
      </c>
      <c r="G400" s="990">
        <v>1252</v>
      </c>
      <c r="H400" s="900">
        <v>1244</v>
      </c>
      <c r="I400" s="900">
        <v>1245</v>
      </c>
      <c r="J400" s="900">
        <v>1248</v>
      </c>
      <c r="K400" s="900">
        <v>1248</v>
      </c>
      <c r="L400" s="998">
        <f t="shared" si="1225"/>
        <v>1248</v>
      </c>
      <c r="M400" s="900">
        <v>1245</v>
      </c>
      <c r="N400" s="900">
        <v>1253</v>
      </c>
      <c r="O400" s="900">
        <v>1257</v>
      </c>
      <c r="P400" s="900">
        <v>1258.5649999999998</v>
      </c>
      <c r="Q400" s="998">
        <f t="shared" si="1226"/>
        <v>1258.5649999999998</v>
      </c>
      <c r="R400" s="900">
        <v>1253</v>
      </c>
      <c r="S400" s="900">
        <v>1255.567</v>
      </c>
      <c r="T400" s="900">
        <v>1260</v>
      </c>
      <c r="U400" s="900">
        <v>1264</v>
      </c>
      <c r="V400" s="998">
        <f t="shared" si="1227"/>
        <v>1264</v>
      </c>
      <c r="W400" s="900">
        <v>1264</v>
      </c>
      <c r="X400" s="900">
        <v>1270</v>
      </c>
      <c r="Y400" s="900">
        <v>1275</v>
      </c>
      <c r="Z400" s="932">
        <v>1278</v>
      </c>
      <c r="AA400" s="998">
        <f t="shared" si="1228"/>
        <v>1278</v>
      </c>
      <c r="AB400" s="900">
        <v>1276</v>
      </c>
      <c r="AC400" s="900">
        <v>1287</v>
      </c>
      <c r="AD400" s="900">
        <v>1297</v>
      </c>
      <c r="AE400" s="900">
        <v>1304</v>
      </c>
      <c r="AF400" s="998">
        <f t="shared" si="1229"/>
        <v>1304</v>
      </c>
      <c r="AG400" s="900">
        <v>1307</v>
      </c>
      <c r="AH400" s="900">
        <v>1319</v>
      </c>
      <c r="AI400" s="900">
        <v>1326</v>
      </c>
      <c r="AJ400" s="900">
        <v>1327</v>
      </c>
      <c r="AK400" s="998">
        <f t="shared" si="1224"/>
        <v>1327</v>
      </c>
      <c r="AL400" s="900">
        <v>1326</v>
      </c>
      <c r="AM400" s="900">
        <v>1339</v>
      </c>
      <c r="AN400" s="900">
        <v>1356</v>
      </c>
      <c r="AO400" s="115"/>
      <c r="AP400" s="995"/>
      <c r="AQ400" s="115"/>
      <c r="AR400" s="115"/>
      <c r="AS400" s="115"/>
      <c r="AT400" s="115"/>
      <c r="AU400" s="995"/>
      <c r="AV400" s="115"/>
      <c r="AW400" s="115"/>
      <c r="AX400" s="115"/>
      <c r="AY400" s="115"/>
      <c r="AZ400" s="995"/>
      <c r="BA400" s="115"/>
      <c r="BB400" s="115"/>
      <c r="BC400" s="115"/>
      <c r="BD400" s="115"/>
      <c r="BE400" s="995"/>
      <c r="BF400" s="115"/>
      <c r="BG400" s="115"/>
      <c r="BH400" s="641"/>
      <c r="BI400" s="115"/>
      <c r="BJ400" s="995"/>
      <c r="BK400" s="115"/>
      <c r="BL400" s="115"/>
      <c r="BM400" s="115"/>
      <c r="BN400" s="115"/>
      <c r="BO400" s="995"/>
      <c r="BP400" s="995"/>
      <c r="BQ400" s="995"/>
      <c r="BR400" s="995"/>
      <c r="BS400" s="305"/>
    </row>
    <row r="401" spans="1:71" s="300" customFormat="1" ht="15" hidden="1" outlineLevel="1">
      <c r="A401" s="106" t="s">
        <v>397</v>
      </c>
      <c r="B401" s="233"/>
      <c r="C401" s="993">
        <f>SUM(C397:C400)</f>
        <v>0</v>
      </c>
      <c r="D401" s="988">
        <v>5041</v>
      </c>
      <c r="E401" s="993">
        <f t="shared" si="1230" ref="E401:K401">SUM(E397:E400)</f>
        <v>3905</v>
      </c>
      <c r="F401" s="993">
        <f t="shared" si="1230"/>
        <v>4044</v>
      </c>
      <c r="G401" s="993">
        <f t="shared" si="1230"/>
        <v>4024</v>
      </c>
      <c r="H401" s="305">
        <f t="shared" si="1230"/>
        <v>4032</v>
      </c>
      <c r="I401" s="305">
        <f t="shared" si="1230"/>
        <v>4052</v>
      </c>
      <c r="J401" s="305">
        <f t="shared" si="1230"/>
        <v>4084</v>
      </c>
      <c r="K401" s="305">
        <f t="shared" si="1230"/>
        <v>4107</v>
      </c>
      <c r="L401" s="993">
        <f t="shared" si="1225"/>
        <v>4107</v>
      </c>
      <c r="M401" s="305">
        <f>SUM(M397:M400)</f>
        <v>4135</v>
      </c>
      <c r="N401" s="305">
        <f>SUM(N397:N400)</f>
        <v>4170</v>
      </c>
      <c r="O401" s="305">
        <f>SUM(O397:O400)</f>
        <v>4208</v>
      </c>
      <c r="P401" s="305">
        <f>SUM(P397:P400)</f>
        <v>4218.5439999999999</v>
      </c>
      <c r="Q401" s="993">
        <f t="shared" si="1226"/>
        <v>4218.5439999999999</v>
      </c>
      <c r="R401" s="305">
        <f>SUM(R397:R400)</f>
        <v>4208</v>
      </c>
      <c r="S401" s="305">
        <f>SUM(S397:S400)</f>
        <v>4203.0769999999993</v>
      </c>
      <c r="T401" s="305">
        <f>SUM(T397:T400)</f>
        <v>4202</v>
      </c>
      <c r="U401" s="305">
        <f>SUM(U397:U400)</f>
        <v>4214</v>
      </c>
      <c r="V401" s="993">
        <f t="shared" si="1227"/>
        <v>4214</v>
      </c>
      <c r="W401" s="305">
        <f>SUM(W397:W400)</f>
        <v>4200</v>
      </c>
      <c r="X401" s="305">
        <f>SUM(X397:X400)</f>
        <v>4199</v>
      </c>
      <c r="Y401" s="305">
        <f>SUM(Y397:Y400)</f>
        <v>4212</v>
      </c>
      <c r="Z401" s="400">
        <f>SUM(Z397:Z400)</f>
        <v>4223</v>
      </c>
      <c r="AA401" s="993">
        <f t="shared" si="1228"/>
        <v>4223</v>
      </c>
      <c r="AB401" s="305">
        <f>SUM(AB397:AB400)</f>
        <v>4230</v>
      </c>
      <c r="AC401" s="305">
        <f>SUM(AC397:AC400)</f>
        <v>4251</v>
      </c>
      <c r="AD401" s="305">
        <f>SUM(AD397:AD400)</f>
        <v>4271</v>
      </c>
      <c r="AE401" s="305">
        <f>SUM(AE397:AE400)</f>
        <v>4295</v>
      </c>
      <c r="AF401" s="993">
        <f t="shared" si="1229"/>
        <v>4295</v>
      </c>
      <c r="AG401" s="305">
        <f>SUM(AG397:AG400)</f>
        <v>4306</v>
      </c>
      <c r="AH401" s="305">
        <f>SUM(AH397:AH400)</f>
        <v>4327</v>
      </c>
      <c r="AI401" s="305">
        <f>SUM(AI397:AI400)</f>
        <v>4341</v>
      </c>
      <c r="AJ401" s="305">
        <f>SUM(AJ397:AJ400)</f>
        <v>4344</v>
      </c>
      <c r="AK401" s="993">
        <f t="shared" si="1224"/>
        <v>4344</v>
      </c>
      <c r="AL401" s="305">
        <f>SUM(AL397:AL400)</f>
        <v>4339</v>
      </c>
      <c r="AM401" s="305">
        <f>SUM(AM397:AM400)</f>
        <v>4369</v>
      </c>
      <c r="AN401" s="305">
        <f>SUM(AN397:AN400)</f>
        <v>4455</v>
      </c>
      <c r="AO401" s="897">
        <v>4459</v>
      </c>
      <c r="AP401" s="993">
        <f t="shared" si="1231" ref="AP401:AP409">AO401</f>
        <v>4459</v>
      </c>
      <c r="AQ401" s="897">
        <v>4774</v>
      </c>
      <c r="AR401" s="897">
        <v>4816</v>
      </c>
      <c r="AS401" s="897">
        <v>4848</v>
      </c>
      <c r="AT401" s="897">
        <v>4866</v>
      </c>
      <c r="AU401" s="993">
        <f t="shared" si="1232" ref="AU401:AU409">AT401</f>
        <v>4866</v>
      </c>
      <c r="AV401" s="897">
        <v>4894</v>
      </c>
      <c r="AW401" s="897">
        <v>4919</v>
      </c>
      <c r="AX401" s="897">
        <v>4930</v>
      </c>
      <c r="AY401" s="897">
        <v>4936</v>
      </c>
      <c r="AZ401" s="993">
        <f t="shared" si="1233" ref="AZ401:AZ409">AY401</f>
        <v>4936</v>
      </c>
      <c r="BA401" s="897">
        <v>4913</v>
      </c>
      <c r="BB401" s="897">
        <v>4890</v>
      </c>
      <c r="BC401" s="897">
        <v>4884</v>
      </c>
      <c r="BD401" s="897">
        <v>4863</v>
      </c>
      <c r="BE401" s="993">
        <f t="shared" si="1234" ref="BE401:BE409">BD401</f>
        <v>4863</v>
      </c>
      <c r="BF401" s="897">
        <v>4849</v>
      </c>
      <c r="BG401" s="897">
        <v>4871</v>
      </c>
      <c r="BH401" s="898">
        <v>4877</v>
      </c>
      <c r="BI401" s="92"/>
      <c r="BJ401" s="989"/>
      <c r="BK401" s="92"/>
      <c r="BL401" s="92"/>
      <c r="BM401" s="92"/>
      <c r="BN401" s="92"/>
      <c r="BO401" s="989"/>
      <c r="BP401" s="989"/>
      <c r="BQ401" s="989"/>
      <c r="BR401" s="989"/>
      <c r="BS401" s="305"/>
    </row>
    <row r="402" spans="1:71" s="300" customFormat="1" ht="15" hidden="1" outlineLevel="1">
      <c r="A402" s="106" t="s">
        <v>416</v>
      </c>
      <c r="B402" s="233"/>
      <c r="C402" s="989"/>
      <c r="D402" s="989"/>
      <c r="E402" s="988">
        <v>966</v>
      </c>
      <c r="F402" s="989"/>
      <c r="G402" s="989"/>
      <c r="H402" s="92"/>
      <c r="I402" s="92"/>
      <c r="J402" s="92"/>
      <c r="K402" s="92"/>
      <c r="L402" s="993">
        <f t="shared" si="1225"/>
        <v>0</v>
      </c>
      <c r="M402" s="92"/>
      <c r="N402" s="92"/>
      <c r="O402" s="92"/>
      <c r="P402" s="92"/>
      <c r="Q402" s="993">
        <f t="shared" si="1226"/>
        <v>0</v>
      </c>
      <c r="R402" s="92"/>
      <c r="S402" s="92"/>
      <c r="T402" s="92"/>
      <c r="U402" s="92"/>
      <c r="V402" s="993">
        <f t="shared" si="1227"/>
        <v>0</v>
      </c>
      <c r="W402" s="92"/>
      <c r="X402" s="92"/>
      <c r="Y402" s="92"/>
      <c r="Z402" s="502"/>
      <c r="AA402" s="993">
        <f t="shared" si="1228"/>
        <v>0</v>
      </c>
      <c r="AB402" s="92"/>
      <c r="AC402" s="92"/>
      <c r="AD402" s="92"/>
      <c r="AE402" s="92"/>
      <c r="AF402" s="993">
        <f t="shared" si="1229"/>
        <v>0</v>
      </c>
      <c r="AG402" s="92"/>
      <c r="AH402" s="92"/>
      <c r="AI402" s="92"/>
      <c r="AJ402" s="92"/>
      <c r="AK402" s="993">
        <f t="shared" si="1224"/>
        <v>0</v>
      </c>
      <c r="AL402" s="92"/>
      <c r="AM402" s="92"/>
      <c r="AN402" s="92"/>
      <c r="AO402" s="92"/>
      <c r="AP402" s="993">
        <f t="shared" si="1231"/>
        <v>0</v>
      </c>
      <c r="AQ402" s="92"/>
      <c r="AR402" s="92"/>
      <c r="AS402" s="92"/>
      <c r="AT402" s="92"/>
      <c r="AU402" s="993">
        <f t="shared" si="1232"/>
        <v>0</v>
      </c>
      <c r="AV402" s="92"/>
      <c r="AW402" s="92"/>
      <c r="AX402" s="92"/>
      <c r="AY402" s="92"/>
      <c r="AZ402" s="993">
        <f t="shared" si="1233"/>
        <v>0</v>
      </c>
      <c r="BA402" s="92"/>
      <c r="BB402" s="92"/>
      <c r="BC402" s="92"/>
      <c r="BD402" s="92"/>
      <c r="BE402" s="993">
        <f t="shared" si="1234"/>
        <v>0</v>
      </c>
      <c r="BF402" s="92"/>
      <c r="BG402" s="92"/>
      <c r="BH402" s="464"/>
      <c r="BI402" s="92"/>
      <c r="BJ402" s="989"/>
      <c r="BK402" s="92"/>
      <c r="BL402" s="92"/>
      <c r="BM402" s="92"/>
      <c r="BN402" s="92"/>
      <c r="BO402" s="989"/>
      <c r="BP402" s="989"/>
      <c r="BQ402" s="989"/>
      <c r="BR402" s="989"/>
      <c r="BS402" s="305"/>
    </row>
    <row r="403" spans="1:71" s="300" customFormat="1" ht="15" hidden="1" outlineLevel="1">
      <c r="A403" s="106" t="s">
        <v>398</v>
      </c>
      <c r="B403" s="233"/>
      <c r="C403" s="989"/>
      <c r="D403" s="989"/>
      <c r="E403" s="988">
        <v>286</v>
      </c>
      <c r="F403" s="988">
        <v>283</v>
      </c>
      <c r="G403" s="988">
        <v>301</v>
      </c>
      <c r="H403" s="897">
        <v>305</v>
      </c>
      <c r="I403" s="897">
        <v>313</v>
      </c>
      <c r="J403" s="897">
        <v>320</v>
      </c>
      <c r="K403" s="897">
        <v>325</v>
      </c>
      <c r="L403" s="993">
        <f t="shared" si="1225"/>
        <v>325</v>
      </c>
      <c r="M403" s="897">
        <v>326</v>
      </c>
      <c r="N403" s="897">
        <v>330</v>
      </c>
      <c r="O403" s="897">
        <v>328</v>
      </c>
      <c r="P403" s="897">
        <v>324</v>
      </c>
      <c r="Q403" s="993">
        <f t="shared" si="1226"/>
        <v>324</v>
      </c>
      <c r="R403" s="897">
        <v>318</v>
      </c>
      <c r="S403" s="897">
        <v>308</v>
      </c>
      <c r="T403" s="897">
        <v>296</v>
      </c>
      <c r="U403" s="897">
        <v>285</v>
      </c>
      <c r="V403" s="993">
        <f t="shared" si="1227"/>
        <v>285</v>
      </c>
      <c r="W403" s="897">
        <v>272</v>
      </c>
      <c r="X403" s="897">
        <v>262</v>
      </c>
      <c r="Y403" s="897">
        <v>251</v>
      </c>
      <c r="Z403" s="933">
        <v>245</v>
      </c>
      <c r="AA403" s="993">
        <f t="shared" si="1228"/>
        <v>245</v>
      </c>
      <c r="AB403" s="897">
        <v>238</v>
      </c>
      <c r="AC403" s="897">
        <v>234</v>
      </c>
      <c r="AD403" s="897">
        <v>231</v>
      </c>
      <c r="AE403" s="897">
        <v>231</v>
      </c>
      <c r="AF403" s="993">
        <f t="shared" si="1229"/>
        <v>231</v>
      </c>
      <c r="AG403" s="897">
        <v>230</v>
      </c>
      <c r="AH403" s="897">
        <v>229</v>
      </c>
      <c r="AI403" s="897">
        <v>228</v>
      </c>
      <c r="AJ403" s="897">
        <v>227</v>
      </c>
      <c r="AK403" s="993">
        <f t="shared" si="1224"/>
        <v>227</v>
      </c>
      <c r="AL403" s="897">
        <v>224</v>
      </c>
      <c r="AM403" s="897">
        <v>221</v>
      </c>
      <c r="AN403" s="897">
        <v>219</v>
      </c>
      <c r="AO403" s="897">
        <v>216</v>
      </c>
      <c r="AP403" s="993">
        <f t="shared" si="1231"/>
        <v>216</v>
      </c>
      <c r="AQ403" s="897">
        <v>325</v>
      </c>
      <c r="AR403" s="897">
        <v>322</v>
      </c>
      <c r="AS403" s="897">
        <v>319</v>
      </c>
      <c r="AT403" s="897">
        <v>315</v>
      </c>
      <c r="AU403" s="993">
        <f t="shared" si="1232"/>
        <v>315</v>
      </c>
      <c r="AV403" s="897">
        <v>312</v>
      </c>
      <c r="AW403" s="897">
        <v>311</v>
      </c>
      <c r="AX403" s="897">
        <v>310</v>
      </c>
      <c r="AY403" s="897">
        <v>311</v>
      </c>
      <c r="AZ403" s="993">
        <f t="shared" si="1233"/>
        <v>311</v>
      </c>
      <c r="BA403" s="897">
        <v>307</v>
      </c>
      <c r="BB403" s="897">
        <v>307</v>
      </c>
      <c r="BC403" s="897">
        <v>296</v>
      </c>
      <c r="BD403" s="897">
        <v>284</v>
      </c>
      <c r="BE403" s="993">
        <f t="shared" si="1234"/>
        <v>284</v>
      </c>
      <c r="BF403" s="897">
        <v>273</v>
      </c>
      <c r="BG403" s="897">
        <v>256</v>
      </c>
      <c r="BH403" s="898">
        <v>238</v>
      </c>
      <c r="BI403" s="92"/>
      <c r="BJ403" s="989"/>
      <c r="BK403" s="92"/>
      <c r="BL403" s="92"/>
      <c r="BM403" s="92"/>
      <c r="BN403" s="92"/>
      <c r="BO403" s="989"/>
      <c r="BP403" s="989"/>
      <c r="BQ403" s="989"/>
      <c r="BR403" s="989"/>
      <c r="BS403" s="305"/>
    </row>
    <row r="404" spans="1:71" s="300" customFormat="1" ht="15" hidden="1" outlineLevel="1">
      <c r="A404" s="106" t="s">
        <v>405</v>
      </c>
      <c r="B404" s="233"/>
      <c r="C404" s="989"/>
      <c r="D404" s="988">
        <v>1032</v>
      </c>
      <c r="E404" s="988">
        <v>1043</v>
      </c>
      <c r="F404" s="989"/>
      <c r="G404" s="989"/>
      <c r="H404" s="92"/>
      <c r="I404" s="92"/>
      <c r="J404" s="92"/>
      <c r="K404" s="92"/>
      <c r="L404" s="993">
        <f t="shared" si="1225"/>
        <v>0</v>
      </c>
      <c r="M404" s="92"/>
      <c r="N404" s="92"/>
      <c r="O404" s="92"/>
      <c r="P404" s="92"/>
      <c r="Q404" s="993">
        <f t="shared" si="1226"/>
        <v>0</v>
      </c>
      <c r="R404" s="92"/>
      <c r="S404" s="92"/>
      <c r="T404" s="92"/>
      <c r="U404" s="92"/>
      <c r="V404" s="993">
        <f t="shared" si="1227"/>
        <v>0</v>
      </c>
      <c r="W404" s="92"/>
      <c r="X404" s="92"/>
      <c r="Y404" s="92"/>
      <c r="Z404" s="503"/>
      <c r="AA404" s="993">
        <f t="shared" si="1228"/>
        <v>0</v>
      </c>
      <c r="AB404" s="92"/>
      <c r="AC404" s="92"/>
      <c r="AD404" s="92"/>
      <c r="AE404" s="92"/>
      <c r="AF404" s="993">
        <f t="shared" si="1229"/>
        <v>0</v>
      </c>
      <c r="AG404" s="92"/>
      <c r="AH404" s="92"/>
      <c r="AI404" s="92"/>
      <c r="AJ404" s="92"/>
      <c r="AK404" s="993">
        <f t="shared" si="1224"/>
        <v>0</v>
      </c>
      <c r="AL404" s="92"/>
      <c r="AM404" s="92"/>
      <c r="AN404" s="92"/>
      <c r="AO404" s="92"/>
      <c r="AP404" s="993">
        <f t="shared" si="1231"/>
        <v>0</v>
      </c>
      <c r="AQ404" s="92"/>
      <c r="AR404" s="92"/>
      <c r="AS404" s="92"/>
      <c r="AT404" s="92"/>
      <c r="AU404" s="993">
        <f t="shared" si="1232"/>
        <v>0</v>
      </c>
      <c r="AV404" s="92"/>
      <c r="AW404" s="92"/>
      <c r="AX404" s="92"/>
      <c r="AY404" s="92"/>
      <c r="AZ404" s="993">
        <f t="shared" si="1233"/>
        <v>0</v>
      </c>
      <c r="BA404" s="92"/>
      <c r="BB404" s="92"/>
      <c r="BC404" s="92"/>
      <c r="BD404" s="92"/>
      <c r="BE404" s="993">
        <f t="shared" si="1234"/>
        <v>0</v>
      </c>
      <c r="BF404" s="92"/>
      <c r="BG404" s="92"/>
      <c r="BH404" s="464"/>
      <c r="BI404" s="92"/>
      <c r="BJ404" s="989"/>
      <c r="BK404" s="92"/>
      <c r="BL404" s="92"/>
      <c r="BM404" s="92"/>
      <c r="BN404" s="92"/>
      <c r="BO404" s="989"/>
      <c r="BP404" s="989"/>
      <c r="BQ404" s="989"/>
      <c r="BR404" s="989"/>
      <c r="BS404" s="305"/>
    </row>
    <row r="405" spans="1:71" s="300" customFormat="1" ht="15" hidden="1" outlineLevel="1">
      <c r="A405" s="106" t="s">
        <v>413</v>
      </c>
      <c r="B405" s="233"/>
      <c r="C405" s="989"/>
      <c r="D405" s="989"/>
      <c r="E405" s="989"/>
      <c r="F405" s="988">
        <v>1009</v>
      </c>
      <c r="G405" s="988">
        <v>989</v>
      </c>
      <c r="H405" s="897">
        <v>991</v>
      </c>
      <c r="I405" s="897">
        <v>972</v>
      </c>
      <c r="J405" s="897">
        <v>958</v>
      </c>
      <c r="K405" s="897">
        <v>948</v>
      </c>
      <c r="L405" s="993">
        <f t="shared" si="1225"/>
        <v>948</v>
      </c>
      <c r="M405" s="897">
        <v>941</v>
      </c>
      <c r="N405" s="897">
        <v>937</v>
      </c>
      <c r="O405" s="897">
        <v>920</v>
      </c>
      <c r="P405" s="897">
        <v>894</v>
      </c>
      <c r="Q405" s="993">
        <f t="shared" si="1226"/>
        <v>894</v>
      </c>
      <c r="R405" s="92"/>
      <c r="S405" s="92"/>
      <c r="T405" s="92"/>
      <c r="U405" s="92"/>
      <c r="V405" s="993">
        <f t="shared" si="1227"/>
        <v>0</v>
      </c>
      <c r="W405" s="92"/>
      <c r="X405" s="92"/>
      <c r="Y405" s="92"/>
      <c r="Z405" s="503"/>
      <c r="AA405" s="993">
        <f t="shared" si="1228"/>
        <v>0</v>
      </c>
      <c r="AB405" s="92"/>
      <c r="AC405" s="92"/>
      <c r="AD405" s="92"/>
      <c r="AE405" s="92"/>
      <c r="AF405" s="993">
        <f t="shared" si="1229"/>
        <v>0</v>
      </c>
      <c r="AG405" s="92"/>
      <c r="AH405" s="92"/>
      <c r="AI405" s="92"/>
      <c r="AJ405" s="92"/>
      <c r="AK405" s="993">
        <f t="shared" si="1224"/>
        <v>0</v>
      </c>
      <c r="AL405" s="92"/>
      <c r="AM405" s="92"/>
      <c r="AN405" s="92"/>
      <c r="AO405" s="92"/>
      <c r="AP405" s="993">
        <f t="shared" si="1231"/>
        <v>0</v>
      </c>
      <c r="AQ405" s="92"/>
      <c r="AR405" s="92"/>
      <c r="AS405" s="92"/>
      <c r="AT405" s="92"/>
      <c r="AU405" s="993">
        <f t="shared" si="1232"/>
        <v>0</v>
      </c>
      <c r="AV405" s="92"/>
      <c r="AW405" s="92"/>
      <c r="AX405" s="92"/>
      <c r="AY405" s="92"/>
      <c r="AZ405" s="993">
        <f t="shared" si="1233"/>
        <v>0</v>
      </c>
      <c r="BA405" s="92"/>
      <c r="BB405" s="92"/>
      <c r="BC405" s="92"/>
      <c r="BD405" s="92"/>
      <c r="BE405" s="993">
        <f t="shared" si="1234"/>
        <v>0</v>
      </c>
      <c r="BF405" s="92"/>
      <c r="BG405" s="92"/>
      <c r="BH405" s="464"/>
      <c r="BI405" s="92"/>
      <c r="BJ405" s="989"/>
      <c r="BK405" s="92"/>
      <c r="BL405" s="92"/>
      <c r="BM405" s="92"/>
      <c r="BN405" s="92"/>
      <c r="BO405" s="989"/>
      <c r="BP405" s="989"/>
      <c r="BQ405" s="989"/>
      <c r="BR405" s="989"/>
      <c r="BS405" s="305"/>
    </row>
    <row r="406" spans="1:71" s="300" customFormat="1" ht="15" hidden="1" outlineLevel="1">
      <c r="A406" s="106" t="s">
        <v>414</v>
      </c>
      <c r="B406" s="233"/>
      <c r="C406" s="989"/>
      <c r="D406" s="988">
        <v>871</v>
      </c>
      <c r="E406" s="988">
        <v>924</v>
      </c>
      <c r="F406" s="989"/>
      <c r="G406" s="989"/>
      <c r="H406" s="92"/>
      <c r="I406" s="92"/>
      <c r="J406" s="92"/>
      <c r="K406" s="92"/>
      <c r="L406" s="993">
        <f t="shared" si="1225"/>
        <v>0</v>
      </c>
      <c r="M406" s="92"/>
      <c r="N406" s="92"/>
      <c r="O406" s="92"/>
      <c r="P406" s="92"/>
      <c r="Q406" s="993">
        <f t="shared" si="1226"/>
        <v>0</v>
      </c>
      <c r="R406" s="92"/>
      <c r="S406" s="92"/>
      <c r="T406" s="92"/>
      <c r="U406" s="92"/>
      <c r="V406" s="993">
        <f t="shared" si="1227"/>
        <v>0</v>
      </c>
      <c r="W406" s="92"/>
      <c r="X406" s="92"/>
      <c r="Y406" s="92"/>
      <c r="Z406" s="503"/>
      <c r="AA406" s="993">
        <f t="shared" si="1228"/>
        <v>0</v>
      </c>
      <c r="AB406" s="92"/>
      <c r="AC406" s="92"/>
      <c r="AD406" s="92"/>
      <c r="AE406" s="92"/>
      <c r="AF406" s="993">
        <f t="shared" si="1229"/>
        <v>0</v>
      </c>
      <c r="AG406" s="92"/>
      <c r="AH406" s="92"/>
      <c r="AI406" s="92"/>
      <c r="AJ406" s="92"/>
      <c r="AK406" s="993">
        <f t="shared" si="1224"/>
        <v>0</v>
      </c>
      <c r="AL406" s="92"/>
      <c r="AM406" s="92"/>
      <c r="AN406" s="92"/>
      <c r="AO406" s="92"/>
      <c r="AP406" s="993">
        <f t="shared" si="1231"/>
        <v>0</v>
      </c>
      <c r="AQ406" s="92"/>
      <c r="AR406" s="92"/>
      <c r="AS406" s="92"/>
      <c r="AT406" s="92"/>
      <c r="AU406" s="993">
        <f t="shared" si="1232"/>
        <v>0</v>
      </c>
      <c r="AV406" s="92"/>
      <c r="AW406" s="92"/>
      <c r="AX406" s="92"/>
      <c r="AY406" s="92"/>
      <c r="AZ406" s="993">
        <f t="shared" si="1233"/>
        <v>0</v>
      </c>
      <c r="BA406" s="92"/>
      <c r="BB406" s="92"/>
      <c r="BC406" s="92"/>
      <c r="BD406" s="92"/>
      <c r="BE406" s="993">
        <f t="shared" si="1234"/>
        <v>0</v>
      </c>
      <c r="BF406" s="92"/>
      <c r="BG406" s="92"/>
      <c r="BH406" s="464"/>
      <c r="BI406" s="92"/>
      <c r="BJ406" s="989"/>
      <c r="BK406" s="92"/>
      <c r="BL406" s="92"/>
      <c r="BM406" s="92"/>
      <c r="BN406" s="92"/>
      <c r="BO406" s="989"/>
      <c r="BP406" s="989"/>
      <c r="BQ406" s="989"/>
      <c r="BR406" s="989"/>
      <c r="BS406" s="305"/>
    </row>
    <row r="407" spans="1:71" s="300" customFormat="1" ht="15" hidden="1" outlineLevel="1">
      <c r="A407" s="106" t="s">
        <v>415</v>
      </c>
      <c r="B407" s="233"/>
      <c r="C407" s="989"/>
      <c r="D407" s="988">
        <v>43</v>
      </c>
      <c r="E407" s="988">
        <v>28</v>
      </c>
      <c r="F407" s="989"/>
      <c r="G407" s="989"/>
      <c r="H407" s="92"/>
      <c r="I407" s="92"/>
      <c r="J407" s="92"/>
      <c r="K407" s="92"/>
      <c r="L407" s="993">
        <f t="shared" si="1225"/>
        <v>0</v>
      </c>
      <c r="M407" s="92"/>
      <c r="N407" s="92"/>
      <c r="O407" s="92"/>
      <c r="P407" s="92"/>
      <c r="Q407" s="993">
        <f t="shared" si="1226"/>
        <v>0</v>
      </c>
      <c r="R407" s="92"/>
      <c r="S407" s="92"/>
      <c r="T407" s="92"/>
      <c r="U407" s="92"/>
      <c r="V407" s="993">
        <f t="shared" si="1227"/>
        <v>0</v>
      </c>
      <c r="W407" s="92"/>
      <c r="X407" s="92"/>
      <c r="Y407" s="92"/>
      <c r="Z407" s="503"/>
      <c r="AA407" s="993">
        <f t="shared" si="1228"/>
        <v>0</v>
      </c>
      <c r="AB407" s="92"/>
      <c r="AC407" s="92"/>
      <c r="AD407" s="92"/>
      <c r="AE407" s="92"/>
      <c r="AF407" s="993">
        <f t="shared" si="1229"/>
        <v>0</v>
      </c>
      <c r="AG407" s="92"/>
      <c r="AH407" s="92"/>
      <c r="AI407" s="92"/>
      <c r="AJ407" s="92"/>
      <c r="AK407" s="993">
        <f t="shared" si="1224"/>
        <v>0</v>
      </c>
      <c r="AL407" s="92"/>
      <c r="AM407" s="92"/>
      <c r="AN407" s="92"/>
      <c r="AO407" s="92"/>
      <c r="AP407" s="993">
        <f t="shared" si="1231"/>
        <v>0</v>
      </c>
      <c r="AQ407" s="92"/>
      <c r="AR407" s="92"/>
      <c r="AS407" s="92"/>
      <c r="AT407" s="92"/>
      <c r="AU407" s="993">
        <f t="shared" si="1232"/>
        <v>0</v>
      </c>
      <c r="AV407" s="92"/>
      <c r="AW407" s="92"/>
      <c r="AX407" s="92"/>
      <c r="AY407" s="92"/>
      <c r="AZ407" s="993">
        <f t="shared" si="1233"/>
        <v>0</v>
      </c>
      <c r="BA407" s="92"/>
      <c r="BB407" s="92"/>
      <c r="BC407" s="92"/>
      <c r="BD407" s="92"/>
      <c r="BE407" s="993">
        <f t="shared" si="1234"/>
        <v>0</v>
      </c>
      <c r="BF407" s="92"/>
      <c r="BG407" s="92"/>
      <c r="BH407" s="464"/>
      <c r="BI407" s="92"/>
      <c r="BJ407" s="989"/>
      <c r="BK407" s="92"/>
      <c r="BL407" s="92"/>
      <c r="BM407" s="92"/>
      <c r="BN407" s="92"/>
      <c r="BO407" s="989"/>
      <c r="BP407" s="989"/>
      <c r="BQ407" s="989"/>
      <c r="BR407" s="989"/>
      <c r="BS407" s="305"/>
    </row>
    <row r="408" spans="1:71" s="300" customFormat="1" ht="15" hidden="1" outlineLevel="1">
      <c r="A408" s="105" t="s">
        <v>424</v>
      </c>
      <c r="B408" s="113"/>
      <c r="C408" s="995"/>
      <c r="D408" s="995"/>
      <c r="E408" s="990">
        <v>0</v>
      </c>
      <c r="F408" s="990">
        <v>13</v>
      </c>
      <c r="G408" s="990">
        <v>22</v>
      </c>
      <c r="H408" s="900">
        <v>23</v>
      </c>
      <c r="I408" s="900">
        <v>25</v>
      </c>
      <c r="J408" s="900">
        <v>26</v>
      </c>
      <c r="K408" s="900">
        <v>27</v>
      </c>
      <c r="L408" s="998">
        <f t="shared" si="1225"/>
        <v>27</v>
      </c>
      <c r="M408" s="900">
        <v>27</v>
      </c>
      <c r="N408" s="900">
        <v>26</v>
      </c>
      <c r="O408" s="900">
        <v>26</v>
      </c>
      <c r="P408" s="900">
        <v>25</v>
      </c>
      <c r="Q408" s="998">
        <f t="shared" si="1226"/>
        <v>25</v>
      </c>
      <c r="R408" s="115"/>
      <c r="S408" s="115"/>
      <c r="T408" s="115"/>
      <c r="U408" s="115"/>
      <c r="V408" s="998">
        <f t="shared" si="1227"/>
        <v>0</v>
      </c>
      <c r="W408" s="115"/>
      <c r="X408" s="115"/>
      <c r="Y408" s="115"/>
      <c r="Z408" s="504"/>
      <c r="AA408" s="998">
        <f t="shared" si="1228"/>
        <v>0</v>
      </c>
      <c r="AB408" s="115"/>
      <c r="AC408" s="115"/>
      <c r="AD408" s="115"/>
      <c r="AE408" s="115"/>
      <c r="AF408" s="998">
        <f t="shared" si="1229"/>
        <v>0</v>
      </c>
      <c r="AG408" s="115"/>
      <c r="AH408" s="115"/>
      <c r="AI408" s="115"/>
      <c r="AJ408" s="115"/>
      <c r="AK408" s="998">
        <f t="shared" si="1224"/>
        <v>0</v>
      </c>
      <c r="AL408" s="115"/>
      <c r="AM408" s="115"/>
      <c r="AN408" s="115"/>
      <c r="AO408" s="115"/>
      <c r="AP408" s="998">
        <f t="shared" si="1231"/>
        <v>0</v>
      </c>
      <c r="AQ408" s="115"/>
      <c r="AR408" s="115"/>
      <c r="AS408" s="115"/>
      <c r="AT408" s="115"/>
      <c r="AU408" s="998">
        <f t="shared" si="1232"/>
        <v>0</v>
      </c>
      <c r="AV408" s="115"/>
      <c r="AW408" s="115"/>
      <c r="AX408" s="115"/>
      <c r="AY408" s="115"/>
      <c r="AZ408" s="998">
        <f t="shared" si="1233"/>
        <v>0</v>
      </c>
      <c r="BA408" s="115"/>
      <c r="BB408" s="115"/>
      <c r="BC408" s="115"/>
      <c r="BD408" s="115"/>
      <c r="BE408" s="998">
        <f t="shared" si="1234"/>
        <v>0</v>
      </c>
      <c r="BF408" s="115"/>
      <c r="BG408" s="115"/>
      <c r="BH408" s="641"/>
      <c r="BI408" s="115"/>
      <c r="BJ408" s="995"/>
      <c r="BK408" s="115"/>
      <c r="BL408" s="115"/>
      <c r="BM408" s="115"/>
      <c r="BN408" s="115"/>
      <c r="BO408" s="995"/>
      <c r="BP408" s="995"/>
      <c r="BQ408" s="995"/>
      <c r="BR408" s="995"/>
      <c r="BS408" s="305"/>
    </row>
    <row r="409" spans="1:71" s="300" customFormat="1" ht="15" hidden="1" outlineLevel="1">
      <c r="A409" s="304" t="s">
        <v>407</v>
      </c>
      <c r="B409" s="233"/>
      <c r="C409" s="993">
        <f t="shared" si="1235" ref="C409">C395+C396+C401+C403+C405+C408</f>
        <v>25436</v>
      </c>
      <c r="D409" s="993">
        <f t="shared" si="1236" ref="D409">D395+D396+D401+D403+D405+D408</f>
        <v>29855</v>
      </c>
      <c r="E409" s="993">
        <f t="shared" si="1237" ref="E409">E395+E396+E401+E403+E405+E408</f>
        <v>28344</v>
      </c>
      <c r="F409" s="993">
        <f t="shared" si="1238" ref="F409">F395+F396+F401+F403+F405+F408</f>
        <v>30646</v>
      </c>
      <c r="G409" s="993">
        <f t="shared" si="1239" ref="G409">G395+G396+G401+G403+G405+G408</f>
        <v>30775</v>
      </c>
      <c r="H409" s="305">
        <f t="shared" si="1240" ref="H409">H395+H396+H401+H403+H405+H408</f>
        <v>30827</v>
      </c>
      <c r="I409" s="305">
        <f t="shared" si="1241" ref="I409">I395+I396+I401+I403+I405+I408</f>
        <v>31036</v>
      </c>
      <c r="J409" s="305">
        <f t="shared" si="1242" ref="J409">J395+J396+J401+J403+J405+J408</f>
        <v>31221</v>
      </c>
      <c r="K409" s="305">
        <f t="shared" si="1243" ref="K409">K395+K396+K401+K403+K405+K408</f>
        <v>31429</v>
      </c>
      <c r="L409" s="993">
        <f t="shared" si="1225"/>
        <v>31429</v>
      </c>
      <c r="M409" s="305">
        <f t="shared" si="1244" ref="M409">M395+M396+M401+M403+M405+M408</f>
        <v>31579</v>
      </c>
      <c r="N409" s="305">
        <f t="shared" si="1245" ref="N409">N395+N396+N401+N403+N405+N408</f>
        <v>31862</v>
      </c>
      <c r="O409" s="305">
        <f t="shared" si="1246" ref="O409">O395+O396+O401+O403+O405+O408</f>
        <v>32012</v>
      </c>
      <c r="P409" s="305">
        <f t="shared" si="1247" ref="P409">P395+P396+P401+P403+P405+P408</f>
        <v>31961.544000000002</v>
      </c>
      <c r="Q409" s="993">
        <f t="shared" si="1226"/>
        <v>31961.544000000002</v>
      </c>
      <c r="R409" s="305">
        <f t="shared" si="1248" ref="R409">R395+R396+R401+R403+R405+R408</f>
        <v>30847</v>
      </c>
      <c r="S409" s="305">
        <f t="shared" si="1249" ref="S409">S395+S396+S401+S403+S405+S408</f>
        <v>30730.076999999997</v>
      </c>
      <c r="T409" s="305">
        <f t="shared" si="1250" ref="T409">T395+T396+T401+T403+T405+T408</f>
        <v>30481</v>
      </c>
      <c r="U409" s="305">
        <f t="shared" si="1251" ref="U409">U395+U396+U401+U403+U405+U408</f>
        <v>30361</v>
      </c>
      <c r="V409" s="993">
        <f t="shared" si="1227"/>
        <v>30361</v>
      </c>
      <c r="W409" s="305">
        <f t="shared" si="1252" ref="W409">W395+W396+W401+W403+W405+W408</f>
        <v>30127</v>
      </c>
      <c r="X409" s="305">
        <f t="shared" si="1253" ref="X409">X395+X396+X401+X403+X405+X408</f>
        <v>30084</v>
      </c>
      <c r="Y409" s="305">
        <f t="shared" si="1254" ref="Y409">Y395+Y396+Y401+Y403+Y405+Y408</f>
        <v>30047</v>
      </c>
      <c r="Z409" s="402">
        <f t="shared" si="1255" ref="Z409">Z395+Z396+Z401+Z403+Z405+Z408</f>
        <v>30136</v>
      </c>
      <c r="AA409" s="993">
        <f t="shared" si="1228"/>
        <v>30136</v>
      </c>
      <c r="AB409" s="305">
        <f t="shared" si="1256" ref="AB409">AB395+AB396+AB401+AB403+AB405+AB408</f>
        <v>30178</v>
      </c>
      <c r="AC409" s="305">
        <f t="shared" si="1257" ref="AC409">AC395+AC396+AC401+AC403+AC405+AC408</f>
        <v>30416</v>
      </c>
      <c r="AD409" s="305">
        <f t="shared" si="1258" ref="AD409">AD395+AD396+AD401+AD403+AD405+AD408</f>
        <v>30559</v>
      </c>
      <c r="AE409" s="305">
        <f t="shared" si="1259" ref="AE409">AE395+AE396+AE401+AE403+AE405+AE408</f>
        <v>30816</v>
      </c>
      <c r="AF409" s="993">
        <f t="shared" si="1229"/>
        <v>30816</v>
      </c>
      <c r="AG409" s="305">
        <f t="shared" si="1260" ref="AG409">AG395+AG396+AG401+AG403+AG405+AG408</f>
        <v>30879</v>
      </c>
      <c r="AH409" s="305">
        <f t="shared" si="1261" ref="AH409">AH395+AH396+AH401+AH403+AH405+AH408</f>
        <v>31078</v>
      </c>
      <c r="AI409" s="305">
        <f t="shared" si="1262" ref="AI409">AI395+AI396+AI401+AI403+AI405+AI408</f>
        <v>31145</v>
      </c>
      <c r="AJ409" s="305">
        <f t="shared" si="1263" ref="AJ409">AJ395+AJ396+AJ401+AJ403+AJ405+AJ408</f>
        <v>31223</v>
      </c>
      <c r="AK409" s="993">
        <f t="shared" si="1224"/>
        <v>31223</v>
      </c>
      <c r="AL409" s="305">
        <f t="shared" si="1264" ref="AL409">AL395+AL396+AL401+AL403+AL405+AL408</f>
        <v>31140</v>
      </c>
      <c r="AM409" s="305">
        <f>AM395+AM396+AM401+AM403+AM405+AM408</f>
        <v>31338</v>
      </c>
      <c r="AN409" s="305">
        <f>AN395+AN396+AN401+AN403+AN405+AN408</f>
        <v>32988</v>
      </c>
      <c r="AO409" s="305">
        <f t="shared" si="1265" ref="AO409">AO395+AO396+AO401+AO403+AO405+AO408</f>
        <v>32911</v>
      </c>
      <c r="AP409" s="993">
        <f t="shared" si="1231"/>
        <v>32911</v>
      </c>
      <c r="AQ409" s="305">
        <f>AQ395+AQ396+AQ401+AQ403+AQ405+AQ408</f>
        <v>37642</v>
      </c>
      <c r="AR409" s="305">
        <f>AR395+AR396+AR401+AR403+AR405+AR408</f>
        <v>37863</v>
      </c>
      <c r="AS409" s="305">
        <f>AS395+AS396+AS401+AS403+AS405+AS408</f>
        <v>37959</v>
      </c>
      <c r="AT409" s="305">
        <f>AT395+AT396+AT401+AT403+AT405+AT408</f>
        <v>38256</v>
      </c>
      <c r="AU409" s="993">
        <f t="shared" si="1232"/>
        <v>38256</v>
      </c>
      <c r="AV409" s="305">
        <f>AV395+AV396+AV401+AV403+AV405+AV408</f>
        <v>38442</v>
      </c>
      <c r="AW409" s="305">
        <f>AW395+AW396+AW401+AW403+AW405+AW408</f>
        <v>38619</v>
      </c>
      <c r="AX409" s="305">
        <f>AX395+AX396+AX401+AX403+AX405+AX408</f>
        <v>38608</v>
      </c>
      <c r="AY409" s="305">
        <f>AY395+AY396+AY401+AY403+AY405+AY408</f>
        <v>38541</v>
      </c>
      <c r="AZ409" s="993">
        <f t="shared" si="1233"/>
        <v>38541</v>
      </c>
      <c r="BA409" s="305">
        <f>BA395+BA396+BA401+BA403+BA405+BA408</f>
        <v>38215</v>
      </c>
      <c r="BB409" s="305">
        <f>BB395+BB396+BB401+BB403+BB405+BB408</f>
        <v>37985</v>
      </c>
      <c r="BC409" s="305">
        <f>BC395+BC396+BC401+BC403+BC405+BC408</f>
        <v>37853</v>
      </c>
      <c r="BD409" s="305">
        <f>BD395+BD396+BD401+BD403+BD405+BD408</f>
        <v>37768</v>
      </c>
      <c r="BE409" s="993">
        <f t="shared" si="1234"/>
        <v>37768</v>
      </c>
      <c r="BF409" s="305">
        <f>BF395+BF396+BF401+BF403+BF405+BF408</f>
        <v>37693</v>
      </c>
      <c r="BG409" s="305">
        <f>BG395+BG396+BG401+BG403+BG405+BG408</f>
        <v>37677</v>
      </c>
      <c r="BH409" s="743">
        <f>BH395+BH396+BH401+BH403+BH405+BH408</f>
        <v>37596</v>
      </c>
      <c r="BI409" s="92"/>
      <c r="BJ409" s="989"/>
      <c r="BK409" s="92"/>
      <c r="BL409" s="92"/>
      <c r="BM409" s="92"/>
      <c r="BN409" s="92"/>
      <c r="BO409" s="989"/>
      <c r="BP409" s="989"/>
      <c r="BQ409" s="989"/>
      <c r="BR409" s="989"/>
      <c r="BS409" s="305"/>
    </row>
    <row r="410" spans="1:71" s="300" customFormat="1" ht="15" hidden="1" outlineLevel="1">
      <c r="A410" s="106" t="s">
        <v>399</v>
      </c>
      <c r="B410" s="233"/>
      <c r="C410" s="989"/>
      <c r="D410" s="989"/>
      <c r="E410" s="988">
        <v>786</v>
      </c>
      <c r="F410" s="988">
        <v>1029</v>
      </c>
      <c r="G410" s="988">
        <v>1286</v>
      </c>
      <c r="H410" s="897">
        <v>1375</v>
      </c>
      <c r="I410" s="897">
        <v>1399</v>
      </c>
      <c r="J410" s="897">
        <v>1410</v>
      </c>
      <c r="K410" s="897">
        <v>1424</v>
      </c>
      <c r="L410" s="993">
        <f t="shared" si="1225"/>
        <v>1424</v>
      </c>
      <c r="M410" s="897">
        <v>1470</v>
      </c>
      <c r="N410" s="897">
        <v>1458</v>
      </c>
      <c r="O410" s="897">
        <v>1433</v>
      </c>
      <c r="P410" s="897">
        <v>1415</v>
      </c>
      <c r="Q410" s="993">
        <f t="shared" si="1226"/>
        <v>1415</v>
      </c>
      <c r="R410" s="897">
        <v>1428</v>
      </c>
      <c r="S410" s="897">
        <v>1409</v>
      </c>
      <c r="T410" s="897">
        <v>1395</v>
      </c>
      <c r="U410" s="897">
        <v>1391</v>
      </c>
      <c r="V410" s="993">
        <f t="shared" si="1227"/>
        <v>1391</v>
      </c>
      <c r="W410" s="897">
        <v>1400</v>
      </c>
      <c r="X410" s="897">
        <v>1388</v>
      </c>
      <c r="Y410" s="897">
        <v>1369</v>
      </c>
      <c r="Z410" s="933">
        <v>1352</v>
      </c>
      <c r="AA410" s="993">
        <f t="shared" si="1228"/>
        <v>1352</v>
      </c>
      <c r="AB410" s="897">
        <v>1399</v>
      </c>
      <c r="AC410" s="897">
        <v>1432</v>
      </c>
      <c r="AD410" s="897">
        <v>1463</v>
      </c>
      <c r="AE410" s="897">
        <v>1488</v>
      </c>
      <c r="AF410" s="993">
        <f t="shared" si="1229"/>
        <v>1488</v>
      </c>
      <c r="AG410" s="897">
        <v>1548</v>
      </c>
      <c r="AH410" s="897">
        <v>1548</v>
      </c>
      <c r="AI410" s="897">
        <v>1543</v>
      </c>
      <c r="AJ410" s="897">
        <v>1515</v>
      </c>
      <c r="AK410" s="993">
        <f t="shared" si="1224"/>
        <v>1515</v>
      </c>
      <c r="AL410" s="897">
        <v>1503</v>
      </c>
      <c r="AM410" s="897">
        <v>1514</v>
      </c>
      <c r="AN410" s="92"/>
      <c r="AO410" s="92"/>
      <c r="AP410" s="989"/>
      <c r="AQ410" s="92"/>
      <c r="AR410" s="92"/>
      <c r="AS410" s="92"/>
      <c r="AT410" s="92"/>
      <c r="AU410" s="989"/>
      <c r="AV410" s="92"/>
      <c r="AW410" s="92"/>
      <c r="AX410" s="92"/>
      <c r="AY410" s="92"/>
      <c r="AZ410" s="989"/>
      <c r="BA410" s="92"/>
      <c r="BB410" s="92"/>
      <c r="BC410" s="92"/>
      <c r="BD410" s="92"/>
      <c r="BE410" s="989"/>
      <c r="BF410" s="92"/>
      <c r="BG410" s="92"/>
      <c r="BH410" s="464"/>
      <c r="BI410" s="92"/>
      <c r="BJ410" s="989"/>
      <c r="BK410" s="92"/>
      <c r="BL410" s="92"/>
      <c r="BM410" s="92"/>
      <c r="BN410" s="92"/>
      <c r="BO410" s="989"/>
      <c r="BP410" s="989"/>
      <c r="BQ410" s="989"/>
      <c r="BR410" s="989"/>
      <c r="BS410" s="305"/>
    </row>
    <row r="411" spans="1:71" s="300" customFormat="1" ht="15" hidden="1" outlineLevel="1">
      <c r="A411" s="106" t="s">
        <v>400</v>
      </c>
      <c r="B411" s="233"/>
      <c r="C411" s="989"/>
      <c r="D411" s="989"/>
      <c r="E411" s="989"/>
      <c r="F411" s="988">
        <v>0</v>
      </c>
      <c r="G411" s="988">
        <v>0</v>
      </c>
      <c r="H411" s="897">
        <v>1</v>
      </c>
      <c r="I411" s="897">
        <v>2</v>
      </c>
      <c r="J411" s="897">
        <v>6</v>
      </c>
      <c r="K411" s="897">
        <v>10</v>
      </c>
      <c r="L411" s="993">
        <f t="shared" si="1225"/>
        <v>10</v>
      </c>
      <c r="M411" s="897">
        <v>15</v>
      </c>
      <c r="N411" s="897">
        <v>20</v>
      </c>
      <c r="O411" s="897">
        <v>26</v>
      </c>
      <c r="P411" s="897">
        <v>32</v>
      </c>
      <c r="Q411" s="993">
        <f t="shared" si="1226"/>
        <v>32</v>
      </c>
      <c r="R411" s="897">
        <v>37</v>
      </c>
      <c r="S411" s="897">
        <v>44</v>
      </c>
      <c r="T411" s="897">
        <v>52</v>
      </c>
      <c r="U411" s="897">
        <v>58</v>
      </c>
      <c r="V411" s="993">
        <f t="shared" si="1227"/>
        <v>58</v>
      </c>
      <c r="W411" s="897">
        <v>63</v>
      </c>
      <c r="X411" s="897">
        <v>69</v>
      </c>
      <c r="Y411" s="897">
        <v>76</v>
      </c>
      <c r="Z411" s="933">
        <v>79</v>
      </c>
      <c r="AA411" s="993">
        <f t="shared" si="1228"/>
        <v>79</v>
      </c>
      <c r="AB411" s="897">
        <v>84</v>
      </c>
      <c r="AC411" s="897">
        <v>88</v>
      </c>
      <c r="AD411" s="897">
        <v>92</v>
      </c>
      <c r="AE411" s="897">
        <v>95</v>
      </c>
      <c r="AF411" s="993">
        <f t="shared" si="1229"/>
        <v>95</v>
      </c>
      <c r="AG411" s="897">
        <v>98</v>
      </c>
      <c r="AH411" s="897">
        <v>101</v>
      </c>
      <c r="AI411" s="897">
        <v>104</v>
      </c>
      <c r="AJ411" s="897">
        <v>105</v>
      </c>
      <c r="AK411" s="993">
        <f t="shared" si="1224"/>
        <v>105</v>
      </c>
      <c r="AL411" s="897">
        <v>106</v>
      </c>
      <c r="AM411" s="897">
        <v>107</v>
      </c>
      <c r="AN411" s="92"/>
      <c r="AO411" s="92"/>
      <c r="AP411" s="989"/>
      <c r="AQ411" s="92"/>
      <c r="AR411" s="92"/>
      <c r="AS411" s="92"/>
      <c r="AT411" s="92"/>
      <c r="AU411" s="989"/>
      <c r="AV411" s="92"/>
      <c r="AW411" s="92"/>
      <c r="AX411" s="92"/>
      <c r="AY411" s="92"/>
      <c r="AZ411" s="989"/>
      <c r="BA411" s="92"/>
      <c r="BB411" s="92"/>
      <c r="BC411" s="92"/>
      <c r="BD411" s="92"/>
      <c r="BE411" s="989"/>
      <c r="BF411" s="92"/>
      <c r="BG411" s="92"/>
      <c r="BH411" s="464"/>
      <c r="BI411" s="92"/>
      <c r="BJ411" s="989"/>
      <c r="BK411" s="92"/>
      <c r="BL411" s="92"/>
      <c r="BM411" s="92"/>
      <c r="BN411" s="92"/>
      <c r="BO411" s="989"/>
      <c r="BP411" s="989"/>
      <c r="BQ411" s="989"/>
      <c r="BR411" s="989"/>
      <c r="BS411" s="305"/>
    </row>
    <row r="412" spans="1:71" s="300" customFormat="1" ht="15" hidden="1" outlineLevel="1">
      <c r="A412" s="105" t="s">
        <v>401</v>
      </c>
      <c r="B412" s="113"/>
      <c r="C412" s="995"/>
      <c r="D412" s="995"/>
      <c r="E412" s="995"/>
      <c r="F412" s="990">
        <v>2</v>
      </c>
      <c r="G412" s="990">
        <v>20</v>
      </c>
      <c r="H412" s="900">
        <v>26</v>
      </c>
      <c r="I412" s="900">
        <v>30</v>
      </c>
      <c r="J412" s="900">
        <v>33</v>
      </c>
      <c r="K412" s="900">
        <v>36</v>
      </c>
      <c r="L412" s="998">
        <f t="shared" si="1225"/>
        <v>36</v>
      </c>
      <c r="M412" s="900">
        <v>42</v>
      </c>
      <c r="N412" s="900">
        <v>44</v>
      </c>
      <c r="O412" s="900">
        <v>44</v>
      </c>
      <c r="P412" s="900">
        <v>44</v>
      </c>
      <c r="Q412" s="998">
        <f t="shared" si="1226"/>
        <v>44</v>
      </c>
      <c r="R412" s="900">
        <v>46</v>
      </c>
      <c r="S412" s="900">
        <v>47</v>
      </c>
      <c r="T412" s="900">
        <v>47</v>
      </c>
      <c r="U412" s="900">
        <v>47</v>
      </c>
      <c r="V412" s="998">
        <f t="shared" si="1227"/>
        <v>47</v>
      </c>
      <c r="W412" s="900">
        <v>48</v>
      </c>
      <c r="X412" s="900">
        <v>47</v>
      </c>
      <c r="Y412" s="900">
        <v>45</v>
      </c>
      <c r="Z412" s="934">
        <v>44</v>
      </c>
      <c r="AA412" s="998">
        <f t="shared" si="1228"/>
        <v>44</v>
      </c>
      <c r="AB412" s="900">
        <v>45</v>
      </c>
      <c r="AC412" s="900">
        <v>46</v>
      </c>
      <c r="AD412" s="900">
        <v>46</v>
      </c>
      <c r="AE412" s="900">
        <v>46</v>
      </c>
      <c r="AF412" s="998">
        <f t="shared" si="1229"/>
        <v>46</v>
      </c>
      <c r="AG412" s="900">
        <v>48</v>
      </c>
      <c r="AH412" s="900">
        <v>48</v>
      </c>
      <c r="AI412" s="900">
        <v>48</v>
      </c>
      <c r="AJ412" s="900">
        <v>46</v>
      </c>
      <c r="AK412" s="998">
        <f t="shared" si="1224"/>
        <v>46</v>
      </c>
      <c r="AL412" s="900">
        <v>46</v>
      </c>
      <c r="AM412" s="900">
        <v>46</v>
      </c>
      <c r="AN412" s="115"/>
      <c r="AO412" s="115"/>
      <c r="AP412" s="995"/>
      <c r="AQ412" s="115"/>
      <c r="AR412" s="115"/>
      <c r="AS412" s="115"/>
      <c r="AT412" s="115"/>
      <c r="AU412" s="995"/>
      <c r="AV412" s="115"/>
      <c r="AW412" s="115"/>
      <c r="AX412" s="115"/>
      <c r="AY412" s="115"/>
      <c r="AZ412" s="995"/>
      <c r="BA412" s="115"/>
      <c r="BB412" s="115"/>
      <c r="BC412" s="115"/>
      <c r="BD412" s="115"/>
      <c r="BE412" s="995"/>
      <c r="BF412" s="115"/>
      <c r="BG412" s="115"/>
      <c r="BH412" s="641"/>
      <c r="BI412" s="115"/>
      <c r="BJ412" s="995"/>
      <c r="BK412" s="115"/>
      <c r="BL412" s="115"/>
      <c r="BM412" s="115"/>
      <c r="BN412" s="115"/>
      <c r="BO412" s="995"/>
      <c r="BP412" s="995"/>
      <c r="BQ412" s="995"/>
      <c r="BR412" s="995"/>
      <c r="BS412" s="305"/>
    </row>
    <row r="413" spans="1:71" s="300" customFormat="1" ht="15" hidden="1" outlineLevel="1">
      <c r="A413" s="304" t="s">
        <v>408</v>
      </c>
      <c r="B413" s="233"/>
      <c r="C413" s="993">
        <f t="shared" si="1266" ref="C413:AJ413">SUM(C410:C412)</f>
        <v>0</v>
      </c>
      <c r="D413" s="993">
        <f t="shared" si="1266"/>
        <v>0</v>
      </c>
      <c r="E413" s="993">
        <f t="shared" si="1266"/>
        <v>786</v>
      </c>
      <c r="F413" s="993">
        <f t="shared" si="1266"/>
        <v>1031</v>
      </c>
      <c r="G413" s="993">
        <f t="shared" si="1266"/>
        <v>1306</v>
      </c>
      <c r="H413" s="305">
        <f t="shared" si="1266"/>
        <v>1402</v>
      </c>
      <c r="I413" s="305">
        <f t="shared" si="1266"/>
        <v>1431</v>
      </c>
      <c r="J413" s="305">
        <f t="shared" si="1266"/>
        <v>1449</v>
      </c>
      <c r="K413" s="305">
        <f t="shared" si="1266"/>
        <v>1470</v>
      </c>
      <c r="L413" s="993">
        <f t="shared" si="1225"/>
        <v>1470</v>
      </c>
      <c r="M413" s="305">
        <f t="shared" si="1266"/>
        <v>1527</v>
      </c>
      <c r="N413" s="305">
        <f t="shared" si="1266"/>
        <v>1522</v>
      </c>
      <c r="O413" s="305">
        <f t="shared" si="1266"/>
        <v>1503</v>
      </c>
      <c r="P413" s="305">
        <f t="shared" si="1266"/>
        <v>1491</v>
      </c>
      <c r="Q413" s="993">
        <f t="shared" si="1226"/>
        <v>1491</v>
      </c>
      <c r="R413" s="305">
        <f t="shared" si="1266"/>
        <v>1511</v>
      </c>
      <c r="S413" s="305">
        <f t="shared" si="1266"/>
        <v>1500</v>
      </c>
      <c r="T413" s="305">
        <f t="shared" si="1266"/>
        <v>1494</v>
      </c>
      <c r="U413" s="305">
        <f t="shared" si="1266"/>
        <v>1496</v>
      </c>
      <c r="V413" s="993">
        <f t="shared" si="1227"/>
        <v>1496</v>
      </c>
      <c r="W413" s="305">
        <f t="shared" si="1266"/>
        <v>1511</v>
      </c>
      <c r="X413" s="305">
        <f t="shared" si="1266"/>
        <v>1504</v>
      </c>
      <c r="Y413" s="305">
        <f t="shared" si="1266"/>
        <v>1490</v>
      </c>
      <c r="Z413" s="401">
        <f t="shared" si="1266"/>
        <v>1475</v>
      </c>
      <c r="AA413" s="993">
        <f t="shared" si="1228"/>
        <v>1475</v>
      </c>
      <c r="AB413" s="305">
        <f t="shared" si="1266"/>
        <v>1528</v>
      </c>
      <c r="AC413" s="305">
        <f t="shared" si="1266"/>
        <v>1566</v>
      </c>
      <c r="AD413" s="305">
        <f t="shared" si="1266"/>
        <v>1601</v>
      </c>
      <c r="AE413" s="305">
        <f t="shared" si="1266"/>
        <v>1629</v>
      </c>
      <c r="AF413" s="993">
        <f t="shared" si="1229"/>
        <v>1629</v>
      </c>
      <c r="AG413" s="305">
        <f t="shared" si="1266"/>
        <v>1694</v>
      </c>
      <c r="AH413" s="305">
        <f t="shared" si="1266"/>
        <v>1697</v>
      </c>
      <c r="AI413" s="305">
        <f t="shared" si="1266"/>
        <v>1695</v>
      </c>
      <c r="AJ413" s="305">
        <f t="shared" si="1266"/>
        <v>1666</v>
      </c>
      <c r="AK413" s="993">
        <f t="shared" si="1224"/>
        <v>1666</v>
      </c>
      <c r="AL413" s="305">
        <f>SUM(AL410:AL412)</f>
        <v>1655</v>
      </c>
      <c r="AM413" s="305">
        <f>SUM(AM410:AM412)</f>
        <v>1667</v>
      </c>
      <c r="AN413" s="305">
        <f>SUM(AN410:AN412)</f>
        <v>0</v>
      </c>
      <c r="AO413" s="305">
        <f t="shared" si="1267" ref="AO413">SUM(AO410:AO412)</f>
        <v>0</v>
      </c>
      <c r="AP413" s="993">
        <f t="shared" si="1268" ref="AP413:AP421">AO413</f>
        <v>0</v>
      </c>
      <c r="AQ413" s="305">
        <f>SUM(AQ410:AQ412)</f>
        <v>0</v>
      </c>
      <c r="AR413" s="305">
        <f>SUM(AR410:AR412)</f>
        <v>0</v>
      </c>
      <c r="AS413" s="305">
        <f>SUM(AS410:AS412)</f>
        <v>0</v>
      </c>
      <c r="AT413" s="305">
        <f>SUM(AT410:AT412)</f>
        <v>0</v>
      </c>
      <c r="AU413" s="993">
        <f t="shared" si="1269" ref="AU413:AU421">AT413</f>
        <v>0</v>
      </c>
      <c r="AV413" s="305">
        <f>SUM(AV410:AV412)</f>
        <v>0</v>
      </c>
      <c r="AW413" s="305">
        <f>SUM(AW410:AW412)</f>
        <v>0</v>
      </c>
      <c r="AX413" s="305">
        <f>SUM(AX410:AX412)</f>
        <v>0</v>
      </c>
      <c r="AY413" s="305">
        <f>SUM(AY410:AY412)</f>
        <v>0</v>
      </c>
      <c r="AZ413" s="993">
        <f t="shared" si="1270" ref="AZ413:AZ421">AY413</f>
        <v>0</v>
      </c>
      <c r="BA413" s="305">
        <f>SUM(BA410:BA412)</f>
        <v>0</v>
      </c>
      <c r="BB413" s="305">
        <f>SUM(BB410:BB412)</f>
        <v>0</v>
      </c>
      <c r="BC413" s="305">
        <f>SUM(BC410:BC412)</f>
        <v>0</v>
      </c>
      <c r="BD413" s="305">
        <f>SUM(BD410:BD412)</f>
        <v>0</v>
      </c>
      <c r="BE413" s="993">
        <f t="shared" si="1271" ref="BE413:BE421">BD413</f>
        <v>0</v>
      </c>
      <c r="BF413" s="305">
        <f>SUM(BF410:BF412)</f>
        <v>0</v>
      </c>
      <c r="BG413" s="305">
        <f>SUM(BG410:BG412)</f>
        <v>0</v>
      </c>
      <c r="BH413" s="743">
        <f>SUM(BH410:BH412)</f>
        <v>0</v>
      </c>
      <c r="BI413" s="92"/>
      <c r="BJ413" s="989"/>
      <c r="BK413" s="92"/>
      <c r="BL413" s="92"/>
      <c r="BM413" s="92"/>
      <c r="BN413" s="92"/>
      <c r="BO413" s="989"/>
      <c r="BP413" s="989"/>
      <c r="BQ413" s="989"/>
      <c r="BR413" s="989"/>
      <c r="BS413" s="305"/>
    </row>
    <row r="414" spans="1:71" s="300" customFormat="1" ht="15" hidden="1" outlineLevel="1">
      <c r="A414" s="106" t="s">
        <v>402</v>
      </c>
      <c r="B414" s="233"/>
      <c r="C414" s="989"/>
      <c r="D414" s="989"/>
      <c r="E414" s="988">
        <f>673+21</f>
        <v>694</v>
      </c>
      <c r="F414" s="988">
        <v>731</v>
      </c>
      <c r="G414" s="988">
        <v>774</v>
      </c>
      <c r="H414" s="897">
        <v>778</v>
      </c>
      <c r="I414" s="897">
        <v>788</v>
      </c>
      <c r="J414" s="897">
        <v>792</v>
      </c>
      <c r="K414" s="897">
        <v>790</v>
      </c>
      <c r="L414" s="993">
        <f t="shared" si="1225"/>
        <v>790</v>
      </c>
      <c r="M414" s="897">
        <v>778</v>
      </c>
      <c r="N414" s="897">
        <v>767</v>
      </c>
      <c r="O414" s="897">
        <v>746</v>
      </c>
      <c r="P414" s="897">
        <v>723</v>
      </c>
      <c r="Q414" s="993">
        <f t="shared" si="1226"/>
        <v>723</v>
      </c>
      <c r="R414" s="897">
        <v>701</v>
      </c>
      <c r="S414" s="897">
        <v>676</v>
      </c>
      <c r="T414" s="897">
        <v>649</v>
      </c>
      <c r="U414" s="897">
        <v>622</v>
      </c>
      <c r="V414" s="993">
        <f t="shared" si="1227"/>
        <v>622</v>
      </c>
      <c r="W414" s="897">
        <v>595</v>
      </c>
      <c r="X414" s="897">
        <v>571</v>
      </c>
      <c r="Y414" s="897">
        <v>548</v>
      </c>
      <c r="Z414" s="933">
        <v>530</v>
      </c>
      <c r="AA414" s="993">
        <f t="shared" si="1228"/>
        <v>530</v>
      </c>
      <c r="AB414" s="897">
        <v>517</v>
      </c>
      <c r="AC414" s="897">
        <v>507</v>
      </c>
      <c r="AD414" s="897">
        <v>504</v>
      </c>
      <c r="AE414" s="897">
        <v>502</v>
      </c>
      <c r="AF414" s="993">
        <f t="shared" si="1229"/>
        <v>502</v>
      </c>
      <c r="AG414" s="897">
        <v>499</v>
      </c>
      <c r="AH414" s="897">
        <v>497</v>
      </c>
      <c r="AI414" s="897">
        <v>496</v>
      </c>
      <c r="AJ414" s="897">
        <v>493</v>
      </c>
      <c r="AK414" s="993">
        <f t="shared" si="1224"/>
        <v>493</v>
      </c>
      <c r="AL414" s="897">
        <v>485</v>
      </c>
      <c r="AM414" s="897">
        <v>473</v>
      </c>
      <c r="AN414" s="897">
        <v>460</v>
      </c>
      <c r="AO414" s="897">
        <v>451</v>
      </c>
      <c r="AP414" s="993">
        <f t="shared" si="1268"/>
        <v>451</v>
      </c>
      <c r="AQ414" s="92"/>
      <c r="AR414" s="92"/>
      <c r="AS414" s="92"/>
      <c r="AT414" s="92"/>
      <c r="AU414" s="993">
        <f t="shared" si="1269"/>
        <v>0</v>
      </c>
      <c r="AV414" s="92"/>
      <c r="AW414" s="92"/>
      <c r="AX414" s="92"/>
      <c r="AY414" s="92"/>
      <c r="AZ414" s="993">
        <f t="shared" si="1270"/>
        <v>0</v>
      </c>
      <c r="BA414" s="92"/>
      <c r="BB414" s="92"/>
      <c r="BC414" s="92"/>
      <c r="BD414" s="92"/>
      <c r="BE414" s="993">
        <f t="shared" si="1271"/>
        <v>0</v>
      </c>
      <c r="BF414" s="92"/>
      <c r="BG414" s="92"/>
      <c r="BH414" s="464"/>
      <c r="BI414" s="92"/>
      <c r="BJ414" s="989"/>
      <c r="BK414" s="92"/>
      <c r="BL414" s="92"/>
      <c r="BM414" s="92"/>
      <c r="BN414" s="92"/>
      <c r="BO414" s="989"/>
      <c r="BP414" s="989"/>
      <c r="BQ414" s="989"/>
      <c r="BR414" s="989"/>
      <c r="BS414" s="305"/>
    </row>
    <row r="415" spans="1:71" s="300" customFormat="1" ht="15" hidden="1" outlineLevel="1">
      <c r="A415" s="106" t="s">
        <v>403</v>
      </c>
      <c r="B415" s="233"/>
      <c r="C415" s="989"/>
      <c r="D415" s="989"/>
      <c r="E415" s="988">
        <v>306</v>
      </c>
      <c r="F415" s="988">
        <v>327</v>
      </c>
      <c r="G415" s="988">
        <v>356</v>
      </c>
      <c r="H415" s="897">
        <v>359</v>
      </c>
      <c r="I415" s="897">
        <v>364</v>
      </c>
      <c r="J415" s="897">
        <v>365</v>
      </c>
      <c r="K415" s="897">
        <v>365</v>
      </c>
      <c r="L415" s="993">
        <f t="shared" si="1225"/>
        <v>365</v>
      </c>
      <c r="M415" s="897">
        <v>361</v>
      </c>
      <c r="N415" s="897">
        <v>355</v>
      </c>
      <c r="O415" s="897">
        <v>347</v>
      </c>
      <c r="P415" s="897">
        <v>338</v>
      </c>
      <c r="Q415" s="993">
        <f t="shared" si="1226"/>
        <v>338</v>
      </c>
      <c r="R415" s="897">
        <v>329</v>
      </c>
      <c r="S415" s="897">
        <v>318</v>
      </c>
      <c r="T415" s="897">
        <v>305</v>
      </c>
      <c r="U415" s="897">
        <v>295</v>
      </c>
      <c r="V415" s="993">
        <f t="shared" si="1227"/>
        <v>295</v>
      </c>
      <c r="W415" s="897">
        <v>284</v>
      </c>
      <c r="X415" s="897">
        <v>273</v>
      </c>
      <c r="Y415" s="897">
        <v>262</v>
      </c>
      <c r="Z415" s="933">
        <v>254</v>
      </c>
      <c r="AA415" s="993">
        <f t="shared" si="1228"/>
        <v>254</v>
      </c>
      <c r="AB415" s="897">
        <v>248</v>
      </c>
      <c r="AC415" s="897">
        <v>243</v>
      </c>
      <c r="AD415" s="897">
        <v>240</v>
      </c>
      <c r="AE415" s="897">
        <v>239</v>
      </c>
      <c r="AF415" s="993">
        <f t="shared" si="1229"/>
        <v>239</v>
      </c>
      <c r="AG415" s="897">
        <v>237</v>
      </c>
      <c r="AH415" s="897">
        <v>236</v>
      </c>
      <c r="AI415" s="897">
        <v>235</v>
      </c>
      <c r="AJ415" s="897">
        <v>234</v>
      </c>
      <c r="AK415" s="993">
        <f t="shared" si="1224"/>
        <v>234</v>
      </c>
      <c r="AL415" s="897">
        <v>230</v>
      </c>
      <c r="AM415" s="897">
        <v>225</v>
      </c>
      <c r="AN415" s="897">
        <v>220</v>
      </c>
      <c r="AO415" s="897">
        <v>216</v>
      </c>
      <c r="AP415" s="993">
        <f t="shared" si="1268"/>
        <v>216</v>
      </c>
      <c r="AQ415" s="92"/>
      <c r="AR415" s="92"/>
      <c r="AS415" s="92"/>
      <c r="AT415" s="92"/>
      <c r="AU415" s="993">
        <f t="shared" si="1269"/>
        <v>0</v>
      </c>
      <c r="AV415" s="92"/>
      <c r="AW415" s="92"/>
      <c r="AX415" s="92"/>
      <c r="AY415" s="92"/>
      <c r="AZ415" s="993">
        <f t="shared" si="1270"/>
        <v>0</v>
      </c>
      <c r="BA415" s="92"/>
      <c r="BB415" s="92"/>
      <c r="BC415" s="92"/>
      <c r="BD415" s="92"/>
      <c r="BE415" s="993">
        <f t="shared" si="1271"/>
        <v>0</v>
      </c>
      <c r="BF415" s="92"/>
      <c r="BG415" s="92"/>
      <c r="BH415" s="464"/>
      <c r="BI415" s="92"/>
      <c r="BJ415" s="989"/>
      <c r="BK415" s="92"/>
      <c r="BL415" s="92"/>
      <c r="BM415" s="92"/>
      <c r="BN415" s="92"/>
      <c r="BO415" s="989"/>
      <c r="BP415" s="989"/>
      <c r="BQ415" s="989"/>
      <c r="BR415" s="989"/>
      <c r="BS415" s="305"/>
    </row>
    <row r="416" spans="1:71" s="300" customFormat="1" ht="15" hidden="1" outlineLevel="1">
      <c r="A416" s="105" t="s">
        <v>404</v>
      </c>
      <c r="B416" s="113"/>
      <c r="C416" s="995"/>
      <c r="D416" s="995"/>
      <c r="E416" s="990">
        <f>111+5</f>
        <v>116</v>
      </c>
      <c r="F416" s="990">
        <v>120</v>
      </c>
      <c r="G416" s="990">
        <v>125</v>
      </c>
      <c r="H416" s="900">
        <v>124</v>
      </c>
      <c r="I416" s="900">
        <v>124</v>
      </c>
      <c r="J416" s="900">
        <v>123</v>
      </c>
      <c r="K416" s="900">
        <v>122</v>
      </c>
      <c r="L416" s="998">
        <f t="shared" si="1225"/>
        <v>122</v>
      </c>
      <c r="M416" s="900">
        <v>120</v>
      </c>
      <c r="N416" s="900">
        <v>118</v>
      </c>
      <c r="O416" s="900">
        <v>114</v>
      </c>
      <c r="P416" s="900">
        <v>111</v>
      </c>
      <c r="Q416" s="998">
        <f t="shared" si="1226"/>
        <v>111</v>
      </c>
      <c r="R416" s="900">
        <v>108</v>
      </c>
      <c r="S416" s="900">
        <v>105</v>
      </c>
      <c r="T416" s="900">
        <v>101</v>
      </c>
      <c r="U416" s="900">
        <v>98</v>
      </c>
      <c r="V416" s="998">
        <f t="shared" si="1227"/>
        <v>98</v>
      </c>
      <c r="W416" s="900">
        <v>94</v>
      </c>
      <c r="X416" s="900">
        <v>91</v>
      </c>
      <c r="Y416" s="900">
        <v>88</v>
      </c>
      <c r="Z416" s="934">
        <v>85</v>
      </c>
      <c r="AA416" s="998">
        <f t="shared" si="1228"/>
        <v>85</v>
      </c>
      <c r="AB416" s="900">
        <v>83</v>
      </c>
      <c r="AC416" s="900">
        <v>81</v>
      </c>
      <c r="AD416" s="900">
        <v>80</v>
      </c>
      <c r="AE416" s="900">
        <v>78</v>
      </c>
      <c r="AF416" s="998">
        <f t="shared" si="1229"/>
        <v>78</v>
      </c>
      <c r="AG416" s="900">
        <v>78</v>
      </c>
      <c r="AH416" s="900">
        <v>77</v>
      </c>
      <c r="AI416" s="900">
        <v>77</v>
      </c>
      <c r="AJ416" s="900">
        <v>76</v>
      </c>
      <c r="AK416" s="998">
        <f t="shared" si="1224"/>
        <v>76</v>
      </c>
      <c r="AL416" s="900">
        <v>75</v>
      </c>
      <c r="AM416" s="900">
        <v>74</v>
      </c>
      <c r="AN416" s="900">
        <v>73</v>
      </c>
      <c r="AO416" s="900">
        <v>71</v>
      </c>
      <c r="AP416" s="998">
        <f t="shared" si="1268"/>
        <v>71</v>
      </c>
      <c r="AQ416" s="115"/>
      <c r="AR416" s="115"/>
      <c r="AS416" s="115"/>
      <c r="AT416" s="115"/>
      <c r="AU416" s="998">
        <f t="shared" si="1269"/>
        <v>0</v>
      </c>
      <c r="AV416" s="115"/>
      <c r="AW416" s="115"/>
      <c r="AX416" s="115"/>
      <c r="AY416" s="115"/>
      <c r="AZ416" s="998">
        <f t="shared" si="1270"/>
        <v>0</v>
      </c>
      <c r="BA416" s="115"/>
      <c r="BB416" s="115"/>
      <c r="BC416" s="115"/>
      <c r="BD416" s="115"/>
      <c r="BE416" s="998">
        <f t="shared" si="1271"/>
        <v>0</v>
      </c>
      <c r="BF416" s="115"/>
      <c r="BG416" s="115"/>
      <c r="BH416" s="641"/>
      <c r="BI416" s="115"/>
      <c r="BJ416" s="995"/>
      <c r="BK416" s="115"/>
      <c r="BL416" s="115"/>
      <c r="BM416" s="115"/>
      <c r="BN416" s="115"/>
      <c r="BO416" s="995"/>
      <c r="BP416" s="995"/>
      <c r="BQ416" s="995"/>
      <c r="BR416" s="995"/>
      <c r="BS416" s="305"/>
    </row>
    <row r="417" spans="1:71" s="300" customFormat="1" ht="15" hidden="1" outlineLevel="1">
      <c r="A417" s="304" t="s">
        <v>409</v>
      </c>
      <c r="B417" s="233"/>
      <c r="C417" s="993">
        <f t="shared" si="1272" ref="C417">SUM(C414:C416)</f>
        <v>0</v>
      </c>
      <c r="D417" s="993">
        <f t="shared" si="1273" ref="D417">SUM(D414:D416)</f>
        <v>0</v>
      </c>
      <c r="E417" s="993">
        <f t="shared" si="1274" ref="E417">SUM(E414:E416)</f>
        <v>1116</v>
      </c>
      <c r="F417" s="993">
        <f t="shared" si="1275" ref="F417">SUM(F414:F416)</f>
        <v>1178</v>
      </c>
      <c r="G417" s="993">
        <f t="shared" si="1276" ref="G417">SUM(G414:G416)</f>
        <v>1255</v>
      </c>
      <c r="H417" s="305">
        <f t="shared" si="1277" ref="H417">SUM(H414:H416)</f>
        <v>1261</v>
      </c>
      <c r="I417" s="305">
        <f t="shared" si="1278" ref="I417">SUM(I414:I416)</f>
        <v>1276</v>
      </c>
      <c r="J417" s="305">
        <f t="shared" si="1279" ref="J417">SUM(J414:J416)</f>
        <v>1280</v>
      </c>
      <c r="K417" s="305">
        <f t="shared" si="1280" ref="K417">SUM(K414:K416)</f>
        <v>1277</v>
      </c>
      <c r="L417" s="993">
        <f t="shared" si="1225"/>
        <v>1277</v>
      </c>
      <c r="M417" s="305">
        <f t="shared" si="1281" ref="M417">SUM(M414:M416)</f>
        <v>1259</v>
      </c>
      <c r="N417" s="305">
        <f t="shared" si="1282" ref="N417">SUM(N414:N416)</f>
        <v>1240</v>
      </c>
      <c r="O417" s="305">
        <f t="shared" si="1283" ref="O417">SUM(O414:O416)</f>
        <v>1207</v>
      </c>
      <c r="P417" s="305">
        <f t="shared" si="1284" ref="P417">SUM(P414:P416)</f>
        <v>1172</v>
      </c>
      <c r="Q417" s="993">
        <f t="shared" si="1226"/>
        <v>1172</v>
      </c>
      <c r="R417" s="305">
        <f t="shared" si="1285" ref="R417">SUM(R414:R416)</f>
        <v>1138</v>
      </c>
      <c r="S417" s="305">
        <f t="shared" si="1286" ref="S417">SUM(S414:S416)</f>
        <v>1099</v>
      </c>
      <c r="T417" s="305">
        <f t="shared" si="1287" ref="T417">SUM(T414:T416)</f>
        <v>1055</v>
      </c>
      <c r="U417" s="305">
        <f t="shared" si="1288" ref="U417">SUM(U414:U416)</f>
        <v>1015</v>
      </c>
      <c r="V417" s="993">
        <f t="shared" si="1227"/>
        <v>1015</v>
      </c>
      <c r="W417" s="305">
        <f t="shared" si="1289" ref="W417">SUM(W414:W416)</f>
        <v>973</v>
      </c>
      <c r="X417" s="305">
        <f t="shared" si="1290" ref="X417">SUM(X414:X416)</f>
        <v>935</v>
      </c>
      <c r="Y417" s="305">
        <f t="shared" si="1291" ref="Y417">SUM(Y414:Y416)</f>
        <v>898</v>
      </c>
      <c r="Z417" s="403">
        <f t="shared" si="1292" ref="Z417">SUM(Z414:Z416)</f>
        <v>869</v>
      </c>
      <c r="AA417" s="993">
        <f t="shared" si="1228"/>
        <v>869</v>
      </c>
      <c r="AB417" s="305">
        <f t="shared" si="1293" ref="AB417">SUM(AB414:AB416)</f>
        <v>848</v>
      </c>
      <c r="AC417" s="305">
        <f t="shared" si="1294" ref="AC417">SUM(AC414:AC416)</f>
        <v>831</v>
      </c>
      <c r="AD417" s="305">
        <f t="shared" si="1295" ref="AD417">SUM(AD414:AD416)</f>
        <v>824</v>
      </c>
      <c r="AE417" s="305">
        <f t="shared" si="1296" ref="AE417">SUM(AE414:AE416)</f>
        <v>819</v>
      </c>
      <c r="AF417" s="993">
        <f t="shared" si="1229"/>
        <v>819</v>
      </c>
      <c r="AG417" s="305">
        <f t="shared" si="1297" ref="AG417">SUM(AG414:AG416)</f>
        <v>814</v>
      </c>
      <c r="AH417" s="305">
        <f t="shared" si="1298" ref="AH417">SUM(AH414:AH416)</f>
        <v>810</v>
      </c>
      <c r="AI417" s="305">
        <f t="shared" si="1299" ref="AI417">SUM(AI414:AI416)</f>
        <v>808</v>
      </c>
      <c r="AJ417" s="305">
        <f t="shared" si="1300" ref="AJ417">SUM(AJ414:AJ416)</f>
        <v>803</v>
      </c>
      <c r="AK417" s="993">
        <f t="shared" si="1224"/>
        <v>803</v>
      </c>
      <c r="AL417" s="305">
        <f t="shared" si="1301" ref="AL417">SUM(AL414:AL416)</f>
        <v>790</v>
      </c>
      <c r="AM417" s="305">
        <f>SUM(AM414:AM416)</f>
        <v>772</v>
      </c>
      <c r="AN417" s="305">
        <f>SUM(AN414:AN416)</f>
        <v>753</v>
      </c>
      <c r="AO417" s="305">
        <f t="shared" si="1302" ref="AO417">SUM(AO414:AO416)</f>
        <v>738</v>
      </c>
      <c r="AP417" s="993">
        <f t="shared" si="1268"/>
        <v>738</v>
      </c>
      <c r="AQ417" s="305">
        <f>SUM(AQ414:AQ416)</f>
        <v>0</v>
      </c>
      <c r="AR417" s="305">
        <f>SUM(AR414:AR416)</f>
        <v>0</v>
      </c>
      <c r="AS417" s="305">
        <f>SUM(AS414:AS416)</f>
        <v>0</v>
      </c>
      <c r="AT417" s="305">
        <f>SUM(AT414:AT416)</f>
        <v>0</v>
      </c>
      <c r="AU417" s="993">
        <f t="shared" si="1269"/>
        <v>0</v>
      </c>
      <c r="AV417" s="305">
        <f>SUM(AV414:AV416)</f>
        <v>0</v>
      </c>
      <c r="AW417" s="305">
        <f>SUM(AW414:AW416)</f>
        <v>0</v>
      </c>
      <c r="AX417" s="305">
        <f>SUM(AX414:AX416)</f>
        <v>0</v>
      </c>
      <c r="AY417" s="305">
        <f>SUM(AY414:AY416)</f>
        <v>0</v>
      </c>
      <c r="AZ417" s="993">
        <f t="shared" si="1270"/>
        <v>0</v>
      </c>
      <c r="BA417" s="305">
        <f>SUM(BA414:BA416)</f>
        <v>0</v>
      </c>
      <c r="BB417" s="305">
        <f>SUM(BB414:BB416)</f>
        <v>0</v>
      </c>
      <c r="BC417" s="305">
        <f>SUM(BC414:BC416)</f>
        <v>0</v>
      </c>
      <c r="BD417" s="305">
        <f>SUM(BD414:BD416)</f>
        <v>0</v>
      </c>
      <c r="BE417" s="993">
        <f t="shared" si="1271"/>
        <v>0</v>
      </c>
      <c r="BF417" s="305">
        <f>SUM(BF414:BF416)</f>
        <v>0</v>
      </c>
      <c r="BG417" s="305">
        <f>SUM(BG414:BG416)</f>
        <v>0</v>
      </c>
      <c r="BH417" s="743">
        <f>SUM(BH414:BH416)</f>
        <v>0</v>
      </c>
      <c r="BI417" s="92"/>
      <c r="BJ417" s="989"/>
      <c r="BK417" s="92"/>
      <c r="BL417" s="92"/>
      <c r="BM417" s="92"/>
      <c r="BN417" s="92"/>
      <c r="BO417" s="989"/>
      <c r="BP417" s="989"/>
      <c r="BQ417" s="989"/>
      <c r="BR417" s="989"/>
      <c r="BS417" s="305"/>
    </row>
    <row r="418" spans="1:71" s="300" customFormat="1" ht="15" hidden="1" outlineLevel="1">
      <c r="A418" s="106" t="s">
        <v>712</v>
      </c>
      <c r="B418" s="233"/>
      <c r="C418" s="989"/>
      <c r="D418" s="989"/>
      <c r="E418" s="989"/>
      <c r="F418" s="989"/>
      <c r="G418" s="989"/>
      <c r="H418" s="92"/>
      <c r="I418" s="92"/>
      <c r="J418" s="92"/>
      <c r="K418" s="92"/>
      <c r="L418" s="993">
        <f t="shared" si="1225"/>
        <v>0</v>
      </c>
      <c r="M418" s="92"/>
      <c r="N418" s="92"/>
      <c r="O418" s="92"/>
      <c r="P418" s="92"/>
      <c r="Q418" s="993">
        <f t="shared" si="1226"/>
        <v>0</v>
      </c>
      <c r="R418" s="897">
        <v>0</v>
      </c>
      <c r="S418" s="897">
        <v>0</v>
      </c>
      <c r="T418" s="897">
        <v>0</v>
      </c>
      <c r="U418" s="897">
        <v>0</v>
      </c>
      <c r="V418" s="993">
        <f t="shared" si="1227"/>
        <v>0</v>
      </c>
      <c r="W418" s="897">
        <v>29907</v>
      </c>
      <c r="X418" s="897">
        <v>31258</v>
      </c>
      <c r="Y418" s="897">
        <v>34078</v>
      </c>
      <c r="Z418" s="935">
        <v>38719</v>
      </c>
      <c r="AA418" s="993">
        <f t="shared" si="1228"/>
        <v>38719</v>
      </c>
      <c r="AB418" s="897">
        <v>41806</v>
      </c>
      <c r="AC418" s="897">
        <v>44459</v>
      </c>
      <c r="AD418" s="897">
        <v>52151</v>
      </c>
      <c r="AE418" s="897">
        <v>68588</v>
      </c>
      <c r="AF418" s="993">
        <f t="shared" si="1229"/>
        <v>68588</v>
      </c>
      <c r="AG418" s="897">
        <v>77866</v>
      </c>
      <c r="AH418" s="897">
        <v>83968</v>
      </c>
      <c r="AI418" s="897">
        <v>89783</v>
      </c>
      <c r="AJ418" s="897">
        <v>99632</v>
      </c>
      <c r="AK418" s="993">
        <f t="shared" si="1224"/>
        <v>99632</v>
      </c>
      <c r="AL418" s="897">
        <v>107124</v>
      </c>
      <c r="AM418" s="897">
        <v>120301</v>
      </c>
      <c r="AN418" s="897">
        <v>125831</v>
      </c>
      <c r="AO418" s="897">
        <v>128982</v>
      </c>
      <c r="AP418" s="993">
        <f t="shared" si="1268"/>
        <v>128982</v>
      </c>
      <c r="AQ418" s="897">
        <v>133510</v>
      </c>
      <c r="AR418" s="897">
        <v>139453</v>
      </c>
      <c r="AS418" s="897">
        <v>141809</v>
      </c>
      <c r="AT418" s="897">
        <v>141073</v>
      </c>
      <c r="AU418" s="993">
        <f t="shared" si="1269"/>
        <v>141073</v>
      </c>
      <c r="AV418" s="897">
        <v>139992</v>
      </c>
      <c r="AW418" s="897">
        <v>137292</v>
      </c>
      <c r="AX418" s="897">
        <v>134700</v>
      </c>
      <c r="AY418" s="897">
        <v>138726</v>
      </c>
      <c r="AZ418" s="993">
        <f t="shared" si="1270"/>
        <v>138726</v>
      </c>
      <c r="BA418" s="897">
        <v>136591</v>
      </c>
      <c r="BB418" s="897">
        <v>138172</v>
      </c>
      <c r="BC418" s="897">
        <v>140648</v>
      </c>
      <c r="BD418" s="897">
        <v>145292</v>
      </c>
      <c r="BE418" s="993">
        <f t="shared" si="1271"/>
        <v>145292</v>
      </c>
      <c r="BF418" s="897">
        <v>148086</v>
      </c>
      <c r="BG418" s="897">
        <v>151172</v>
      </c>
      <c r="BH418" s="898">
        <v>156818</v>
      </c>
      <c r="BI418" s="92"/>
      <c r="BJ418" s="989"/>
      <c r="BK418" s="92"/>
      <c r="BL418" s="92"/>
      <c r="BM418" s="92"/>
      <c r="BN418" s="92"/>
      <c r="BO418" s="989"/>
      <c r="BP418" s="989"/>
      <c r="BQ418" s="989"/>
      <c r="BR418" s="989"/>
      <c r="BS418" s="305"/>
    </row>
    <row r="419" spans="1:71" s="300" customFormat="1" ht="15" hidden="1" outlineLevel="1">
      <c r="A419" s="225" t="s">
        <v>713</v>
      </c>
      <c r="B419" s="233"/>
      <c r="C419" s="989"/>
      <c r="D419" s="989"/>
      <c r="E419" s="989"/>
      <c r="F419" s="989"/>
      <c r="G419" s="989"/>
      <c r="H419" s="92"/>
      <c r="I419" s="92"/>
      <c r="J419" s="92"/>
      <c r="K419" s="92"/>
      <c r="L419" s="993">
        <f t="shared" si="1225"/>
        <v>0</v>
      </c>
      <c r="M419" s="92"/>
      <c r="N419" s="92"/>
      <c r="O419" s="92"/>
      <c r="P419" s="92"/>
      <c r="Q419" s="993">
        <f t="shared" si="1226"/>
        <v>0</v>
      </c>
      <c r="R419" s="897">
        <v>3987</v>
      </c>
      <c r="S419" s="897">
        <v>4059</v>
      </c>
      <c r="T419" s="897">
        <v>4125</v>
      </c>
      <c r="U419" s="897">
        <v>4142</v>
      </c>
      <c r="V419" s="993">
        <f t="shared" si="1227"/>
        <v>4142</v>
      </c>
      <c r="W419" s="897">
        <v>4150</v>
      </c>
      <c r="X419" s="897">
        <v>4139</v>
      </c>
      <c r="Y419" s="897">
        <v>4130</v>
      </c>
      <c r="Z419" s="897">
        <v>4088</v>
      </c>
      <c r="AA419" s="993">
        <f t="shared" si="1228"/>
        <v>4088</v>
      </c>
      <c r="AB419" s="897">
        <v>4026</v>
      </c>
      <c r="AC419" s="897">
        <v>3959</v>
      </c>
      <c r="AD419" s="897">
        <v>4402</v>
      </c>
      <c r="AE419" s="897">
        <v>4338</v>
      </c>
      <c r="AF419" s="993">
        <f t="shared" si="1229"/>
        <v>4338</v>
      </c>
      <c r="AG419" s="897">
        <v>4294</v>
      </c>
      <c r="AH419" s="897">
        <v>4253</v>
      </c>
      <c r="AI419" s="897">
        <v>4224</v>
      </c>
      <c r="AJ419" s="897">
        <v>4205</v>
      </c>
      <c r="AK419" s="993">
        <f t="shared" si="1224"/>
        <v>4205</v>
      </c>
      <c r="AL419" s="897">
        <v>4096</v>
      </c>
      <c r="AM419" s="897">
        <v>4101</v>
      </c>
      <c r="AN419" s="897">
        <v>4075</v>
      </c>
      <c r="AO419" s="897">
        <v>4042</v>
      </c>
      <c r="AP419" s="993">
        <f t="shared" si="1268"/>
        <v>4042</v>
      </c>
      <c r="AQ419" s="897">
        <v>3996</v>
      </c>
      <c r="AR419" s="897">
        <v>4013</v>
      </c>
      <c r="AS419" s="897">
        <v>3980</v>
      </c>
      <c r="AT419" s="897">
        <v>3956</v>
      </c>
      <c r="AU419" s="993">
        <f t="shared" si="1269"/>
        <v>3956</v>
      </c>
      <c r="AV419" s="897">
        <v>3924</v>
      </c>
      <c r="AW419" s="897">
        <v>3921</v>
      </c>
      <c r="AX419" s="897">
        <v>3888</v>
      </c>
      <c r="AY419" s="897">
        <v>3865</v>
      </c>
      <c r="AZ419" s="993">
        <f t="shared" si="1270"/>
        <v>3865</v>
      </c>
      <c r="BA419" s="897">
        <v>3839</v>
      </c>
      <c r="BB419" s="897">
        <v>3825</v>
      </c>
      <c r="BC419" s="897">
        <v>3813</v>
      </c>
      <c r="BD419" s="897">
        <v>3776</v>
      </c>
      <c r="BE419" s="993">
        <f t="shared" si="1271"/>
        <v>3776</v>
      </c>
      <c r="BF419" s="897">
        <v>3758</v>
      </c>
      <c r="BG419" s="897">
        <v>3733</v>
      </c>
      <c r="BH419" s="898">
        <v>3703</v>
      </c>
      <c r="BI419" s="92"/>
      <c r="BJ419" s="989"/>
      <c r="BK419" s="92"/>
      <c r="BL419" s="92"/>
      <c r="BM419" s="92"/>
      <c r="BN419" s="92"/>
      <c r="BO419" s="989"/>
      <c r="BP419" s="989"/>
      <c r="BQ419" s="989"/>
      <c r="BR419" s="989"/>
      <c r="BS419" s="305"/>
    </row>
    <row r="420" spans="1:71" s="300" customFormat="1" ht="15" hidden="1" outlineLevel="1">
      <c r="A420" s="225" t="s">
        <v>714</v>
      </c>
      <c r="B420" s="233"/>
      <c r="C420" s="989"/>
      <c r="D420" s="989"/>
      <c r="E420" s="989"/>
      <c r="F420" s="989"/>
      <c r="G420" s="989"/>
      <c r="H420" s="92"/>
      <c r="I420" s="92"/>
      <c r="J420" s="92"/>
      <c r="K420" s="92"/>
      <c r="L420" s="993">
        <f t="shared" si="1225"/>
        <v>0</v>
      </c>
      <c r="M420" s="92"/>
      <c r="N420" s="92"/>
      <c r="O420" s="92"/>
      <c r="P420" s="92"/>
      <c r="Q420" s="993">
        <f t="shared" si="1226"/>
        <v>0</v>
      </c>
      <c r="R420" s="897">
        <v>856</v>
      </c>
      <c r="S420" s="897">
        <v>824</v>
      </c>
      <c r="T420" s="897">
        <v>797</v>
      </c>
      <c r="U420" s="897">
        <v>768</v>
      </c>
      <c r="V420" s="993">
        <f t="shared" si="1227"/>
        <v>768</v>
      </c>
      <c r="W420" s="897">
        <v>743</v>
      </c>
      <c r="X420" s="897">
        <v>724</v>
      </c>
      <c r="Y420" s="897">
        <v>708</v>
      </c>
      <c r="Z420" s="897">
        <v>699</v>
      </c>
      <c r="AA420" s="993">
        <f t="shared" si="1228"/>
        <v>699</v>
      </c>
      <c r="AB420" s="897">
        <v>692</v>
      </c>
      <c r="AC420" s="897">
        <v>681</v>
      </c>
      <c r="AD420" s="897">
        <v>671</v>
      </c>
      <c r="AE420" s="897">
        <v>663</v>
      </c>
      <c r="AF420" s="993">
        <f t="shared" si="1229"/>
        <v>663</v>
      </c>
      <c r="AG420" s="897">
        <v>649</v>
      </c>
      <c r="AH420" s="897">
        <v>635</v>
      </c>
      <c r="AI420" s="897">
        <v>617</v>
      </c>
      <c r="AJ420" s="897">
        <v>599</v>
      </c>
      <c r="AK420" s="993">
        <f t="shared" si="1224"/>
        <v>599</v>
      </c>
      <c r="AL420" s="897">
        <v>576</v>
      </c>
      <c r="AM420" s="897">
        <v>562</v>
      </c>
      <c r="AN420" s="897">
        <v>558</v>
      </c>
      <c r="AO420" s="897">
        <v>548</v>
      </c>
      <c r="AP420" s="993">
        <f t="shared" si="1268"/>
        <v>548</v>
      </c>
      <c r="AQ420" s="897">
        <v>540</v>
      </c>
      <c r="AR420" s="897">
        <v>539</v>
      </c>
      <c r="AS420" s="897">
        <v>533</v>
      </c>
      <c r="AT420" s="897">
        <v>525</v>
      </c>
      <c r="AU420" s="993">
        <f t="shared" si="1269"/>
        <v>525</v>
      </c>
      <c r="AV420" s="897">
        <v>518</v>
      </c>
      <c r="AW420" s="897">
        <v>519</v>
      </c>
      <c r="AX420" s="897">
        <v>523</v>
      </c>
      <c r="AY420" s="897">
        <v>531</v>
      </c>
      <c r="AZ420" s="993">
        <f t="shared" si="1270"/>
        <v>531</v>
      </c>
      <c r="BA420" s="897">
        <v>536</v>
      </c>
      <c r="BB420" s="897">
        <v>545</v>
      </c>
      <c r="BC420" s="897">
        <v>554</v>
      </c>
      <c r="BD420" s="897">
        <v>553</v>
      </c>
      <c r="BE420" s="993">
        <f t="shared" si="1271"/>
        <v>553</v>
      </c>
      <c r="BF420" s="897">
        <v>565</v>
      </c>
      <c r="BG420" s="897">
        <v>604</v>
      </c>
      <c r="BH420" s="898">
        <v>670</v>
      </c>
      <c r="BI420" s="92"/>
      <c r="BJ420" s="989"/>
      <c r="BK420" s="92"/>
      <c r="BL420" s="92"/>
      <c r="BM420" s="92"/>
      <c r="BN420" s="92"/>
      <c r="BO420" s="989"/>
      <c r="BP420" s="989"/>
      <c r="BQ420" s="989"/>
      <c r="BR420" s="989"/>
      <c r="BS420" s="305"/>
    </row>
    <row r="421" spans="1:71" s="300" customFormat="1" ht="15" hidden="1" outlineLevel="1">
      <c r="A421" s="165" t="s">
        <v>715</v>
      </c>
      <c r="B421" s="113"/>
      <c r="C421" s="995"/>
      <c r="D421" s="995"/>
      <c r="E421" s="995"/>
      <c r="F421" s="995"/>
      <c r="G421" s="995"/>
      <c r="H421" s="115"/>
      <c r="I421" s="115"/>
      <c r="J421" s="115"/>
      <c r="K421" s="115"/>
      <c r="L421" s="998">
        <f t="shared" si="1225"/>
        <v>0</v>
      </c>
      <c r="M421" s="115"/>
      <c r="N421" s="115"/>
      <c r="O421" s="115"/>
      <c r="P421" s="115"/>
      <c r="Q421" s="998">
        <f t="shared" si="1226"/>
        <v>0</v>
      </c>
      <c r="R421" s="115"/>
      <c r="S421" s="115"/>
      <c r="T421" s="115"/>
      <c r="U421" s="115"/>
      <c r="V421" s="998">
        <f t="shared" si="1227"/>
        <v>0</v>
      </c>
      <c r="W421" s="900">
        <v>0</v>
      </c>
      <c r="X421" s="900">
        <v>0</v>
      </c>
      <c r="Y421" s="900">
        <v>0</v>
      </c>
      <c r="Z421" s="900">
        <v>0</v>
      </c>
      <c r="AA421" s="998">
        <f t="shared" si="1228"/>
        <v>0</v>
      </c>
      <c r="AB421" s="900">
        <v>0</v>
      </c>
      <c r="AC421" s="900">
        <v>0</v>
      </c>
      <c r="AD421" s="900">
        <v>0</v>
      </c>
      <c r="AE421" s="900">
        <v>1040</v>
      </c>
      <c r="AF421" s="998">
        <f t="shared" si="1229"/>
        <v>1040</v>
      </c>
      <c r="AG421" s="900">
        <v>1211</v>
      </c>
      <c r="AH421" s="900">
        <v>1260</v>
      </c>
      <c r="AI421" s="900">
        <v>1318</v>
      </c>
      <c r="AJ421" s="900">
        <v>1511</v>
      </c>
      <c r="AK421" s="998">
        <f t="shared" si="1224"/>
        <v>1511</v>
      </c>
      <c r="AL421" s="900">
        <v>1932</v>
      </c>
      <c r="AM421" s="900">
        <v>2312</v>
      </c>
      <c r="AN421" s="900">
        <v>2490</v>
      </c>
      <c r="AO421" s="900">
        <v>2700</v>
      </c>
      <c r="AP421" s="998">
        <f t="shared" si="1268"/>
        <v>2700</v>
      </c>
      <c r="AQ421" s="900">
        <v>2702</v>
      </c>
      <c r="AR421" s="900">
        <v>3041</v>
      </c>
      <c r="AS421" s="900">
        <v>3197</v>
      </c>
      <c r="AT421" s="900">
        <v>2802</v>
      </c>
      <c r="AU421" s="998">
        <f t="shared" si="1269"/>
        <v>2802</v>
      </c>
      <c r="AV421" s="900">
        <v>2949</v>
      </c>
      <c r="AW421" s="900">
        <v>2961</v>
      </c>
      <c r="AX421" s="900">
        <v>2968</v>
      </c>
      <c r="AY421" s="900">
        <v>3112</v>
      </c>
      <c r="AZ421" s="998">
        <f t="shared" si="1270"/>
        <v>3112</v>
      </c>
      <c r="BA421" s="900">
        <v>3206</v>
      </c>
      <c r="BB421" s="900">
        <v>3222</v>
      </c>
      <c r="BC421" s="900">
        <v>2965</v>
      </c>
      <c r="BD421" s="900">
        <v>2884</v>
      </c>
      <c r="BE421" s="998">
        <f t="shared" si="1271"/>
        <v>2884</v>
      </c>
      <c r="BF421" s="900">
        <v>3031</v>
      </c>
      <c r="BG421" s="900">
        <v>2510</v>
      </c>
      <c r="BH421" s="901">
        <v>2538</v>
      </c>
      <c r="BI421" s="115"/>
      <c r="BJ421" s="995"/>
      <c r="BK421" s="115"/>
      <c r="BL421" s="115"/>
      <c r="BM421" s="115"/>
      <c r="BN421" s="115"/>
      <c r="BO421" s="995"/>
      <c r="BP421" s="995"/>
      <c r="BQ421" s="995"/>
      <c r="BR421" s="995"/>
      <c r="BS421" s="305"/>
    </row>
    <row r="422" spans="1:71" s="300" customFormat="1" ht="15" hidden="1" outlineLevel="1">
      <c r="A422" s="404" t="s">
        <v>716</v>
      </c>
      <c r="B422" s="505"/>
      <c r="C422" s="1041">
        <f t="shared" si="1303" ref="C422:AM422">SUM(C419:C421)</f>
        <v>0</v>
      </c>
      <c r="D422" s="1041">
        <f t="shared" si="1303"/>
        <v>0</v>
      </c>
      <c r="E422" s="1041">
        <f t="shared" si="1303"/>
        <v>0</v>
      </c>
      <c r="F422" s="1041">
        <f t="shared" si="1303"/>
        <v>0</v>
      </c>
      <c r="G422" s="1041">
        <f t="shared" si="1303"/>
        <v>0</v>
      </c>
      <c r="H422" s="347">
        <f t="shared" si="1303"/>
        <v>0</v>
      </c>
      <c r="I422" s="347">
        <f t="shared" si="1303"/>
        <v>0</v>
      </c>
      <c r="J422" s="347">
        <f t="shared" si="1303"/>
        <v>0</v>
      </c>
      <c r="K422" s="347">
        <f t="shared" si="1303"/>
        <v>0</v>
      </c>
      <c r="L422" s="1041">
        <f t="shared" si="1303"/>
        <v>0</v>
      </c>
      <c r="M422" s="347">
        <f t="shared" si="1303"/>
        <v>0</v>
      </c>
      <c r="N422" s="347">
        <f t="shared" si="1303"/>
        <v>0</v>
      </c>
      <c r="O422" s="347">
        <f t="shared" si="1303"/>
        <v>0</v>
      </c>
      <c r="P422" s="347">
        <f t="shared" si="1303"/>
        <v>0</v>
      </c>
      <c r="Q422" s="1041">
        <f t="shared" si="1303"/>
        <v>0</v>
      </c>
      <c r="R422" s="347">
        <f t="shared" si="1303"/>
        <v>4843</v>
      </c>
      <c r="S422" s="347">
        <f t="shared" si="1303"/>
        <v>4883</v>
      </c>
      <c r="T422" s="347">
        <f t="shared" si="1303"/>
        <v>4922</v>
      </c>
      <c r="U422" s="347">
        <f t="shared" si="1303"/>
        <v>4910</v>
      </c>
      <c r="V422" s="1041">
        <f t="shared" si="1303"/>
        <v>4910</v>
      </c>
      <c r="W422" s="347">
        <f t="shared" si="1303"/>
        <v>4893</v>
      </c>
      <c r="X422" s="347">
        <f t="shared" si="1303"/>
        <v>4863</v>
      </c>
      <c r="Y422" s="347">
        <f t="shared" si="1303"/>
        <v>4838</v>
      </c>
      <c r="Z422" s="347">
        <f t="shared" si="1303"/>
        <v>4787</v>
      </c>
      <c r="AA422" s="1041">
        <f t="shared" si="1303"/>
        <v>4787</v>
      </c>
      <c r="AB422" s="347">
        <f t="shared" si="1303"/>
        <v>4718</v>
      </c>
      <c r="AC422" s="347">
        <f t="shared" si="1303"/>
        <v>4640</v>
      </c>
      <c r="AD422" s="347">
        <f t="shared" si="1303"/>
        <v>5073</v>
      </c>
      <c r="AE422" s="347">
        <f t="shared" si="1303"/>
        <v>6041</v>
      </c>
      <c r="AF422" s="1041">
        <f t="shared" si="1303"/>
        <v>6041</v>
      </c>
      <c r="AG422" s="347">
        <f t="shared" si="1303"/>
        <v>6154</v>
      </c>
      <c r="AH422" s="347">
        <f t="shared" si="1303"/>
        <v>6148</v>
      </c>
      <c r="AI422" s="347">
        <f t="shared" si="1303"/>
        <v>6159</v>
      </c>
      <c r="AJ422" s="347">
        <f t="shared" si="1303"/>
        <v>6315</v>
      </c>
      <c r="AK422" s="1041">
        <f t="shared" si="1303"/>
        <v>6315</v>
      </c>
      <c r="AL422" s="347">
        <f t="shared" si="1303"/>
        <v>6604</v>
      </c>
      <c r="AM422" s="347">
        <f t="shared" si="1303"/>
        <v>6975</v>
      </c>
      <c r="AN422" s="347">
        <f t="shared" si="1304" ref="AN422:AS422">SUM(AN419:AN421)</f>
        <v>7123</v>
      </c>
      <c r="AO422" s="347">
        <f t="shared" si="1304"/>
        <v>7290</v>
      </c>
      <c r="AP422" s="1041">
        <f t="shared" si="1304"/>
        <v>7290</v>
      </c>
      <c r="AQ422" s="347">
        <f t="shared" si="1304"/>
        <v>7238</v>
      </c>
      <c r="AR422" s="347">
        <f t="shared" si="1304"/>
        <v>7593</v>
      </c>
      <c r="AS422" s="347">
        <f t="shared" si="1304"/>
        <v>7710</v>
      </c>
      <c r="AT422" s="347">
        <f t="shared" si="1305" ref="AT422:AZ422">SUM(AT419:AT421)</f>
        <v>7283</v>
      </c>
      <c r="AU422" s="1041">
        <f t="shared" si="1305"/>
        <v>7283</v>
      </c>
      <c r="AV422" s="347">
        <f t="shared" si="1305"/>
        <v>7391</v>
      </c>
      <c r="AW422" s="347">
        <f t="shared" si="1305"/>
        <v>7401</v>
      </c>
      <c r="AX422" s="347">
        <f t="shared" si="1305"/>
        <v>7379</v>
      </c>
      <c r="AY422" s="347">
        <f t="shared" si="1305"/>
        <v>7508</v>
      </c>
      <c r="AZ422" s="1041">
        <f t="shared" si="1305"/>
        <v>7508</v>
      </c>
      <c r="BA422" s="347">
        <f t="shared" si="1306" ref="BA422:BF422">SUM(BA419:BA421)</f>
        <v>7581</v>
      </c>
      <c r="BB422" s="347">
        <f t="shared" si="1306"/>
        <v>7592</v>
      </c>
      <c r="BC422" s="347">
        <f t="shared" si="1306"/>
        <v>7332</v>
      </c>
      <c r="BD422" s="58">
        <f t="shared" si="1306"/>
        <v>7213</v>
      </c>
      <c r="BE422" s="1041">
        <f t="shared" si="1306"/>
        <v>7213</v>
      </c>
      <c r="BF422" s="347">
        <f t="shared" si="1306"/>
        <v>7354</v>
      </c>
      <c r="BG422" s="347">
        <f>SUM(BG419:BG421)</f>
        <v>6847</v>
      </c>
      <c r="BH422" s="761">
        <f>SUM(BH419:BH421)</f>
        <v>6911</v>
      </c>
      <c r="BI422" s="466"/>
      <c r="BJ422" s="1042"/>
      <c r="BK422" s="466"/>
      <c r="BL422" s="466"/>
      <c r="BM422" s="466"/>
      <c r="BN422" s="466"/>
      <c r="BO422" s="1042"/>
      <c r="BP422" s="1042"/>
      <c r="BQ422" s="1042"/>
      <c r="BR422" s="1042"/>
      <c r="BS422" s="305"/>
    </row>
    <row r="423" spans="1:71" s="300" customFormat="1" ht="15" hidden="1" outlineLevel="1">
      <c r="A423" s="304" t="s">
        <v>717</v>
      </c>
      <c r="B423" s="233"/>
      <c r="C423" s="993">
        <f t="shared" si="1307" ref="C423:AM423">C418+C422</f>
        <v>0</v>
      </c>
      <c r="D423" s="993">
        <f t="shared" si="1307"/>
        <v>0</v>
      </c>
      <c r="E423" s="993">
        <f t="shared" si="1307"/>
        <v>0</v>
      </c>
      <c r="F423" s="993">
        <f t="shared" si="1307"/>
        <v>0</v>
      </c>
      <c r="G423" s="993">
        <f t="shared" si="1307"/>
        <v>0</v>
      </c>
      <c r="H423" s="305">
        <f t="shared" si="1307"/>
        <v>0</v>
      </c>
      <c r="I423" s="305">
        <f t="shared" si="1307"/>
        <v>0</v>
      </c>
      <c r="J423" s="305">
        <f t="shared" si="1307"/>
        <v>0</v>
      </c>
      <c r="K423" s="305">
        <f t="shared" si="1307"/>
        <v>0</v>
      </c>
      <c r="L423" s="993">
        <f t="shared" si="1307"/>
        <v>0</v>
      </c>
      <c r="M423" s="305">
        <f t="shared" si="1307"/>
        <v>0</v>
      </c>
      <c r="N423" s="305">
        <f t="shared" si="1307"/>
        <v>0</v>
      </c>
      <c r="O423" s="305">
        <f t="shared" si="1307"/>
        <v>0</v>
      </c>
      <c r="P423" s="305">
        <f t="shared" si="1307"/>
        <v>0</v>
      </c>
      <c r="Q423" s="993">
        <f t="shared" si="1307"/>
        <v>0</v>
      </c>
      <c r="R423" s="305">
        <f t="shared" si="1307"/>
        <v>4843</v>
      </c>
      <c r="S423" s="305">
        <f t="shared" si="1307"/>
        <v>4883</v>
      </c>
      <c r="T423" s="305">
        <f t="shared" si="1307"/>
        <v>4922</v>
      </c>
      <c r="U423" s="305">
        <f t="shared" si="1307"/>
        <v>4910</v>
      </c>
      <c r="V423" s="993">
        <f t="shared" si="1307"/>
        <v>4910</v>
      </c>
      <c r="W423" s="305">
        <f t="shared" si="1307"/>
        <v>34800</v>
      </c>
      <c r="X423" s="305">
        <f t="shared" si="1307"/>
        <v>36121</v>
      </c>
      <c r="Y423" s="305">
        <f t="shared" si="1307"/>
        <v>38916</v>
      </c>
      <c r="Z423" s="305">
        <f t="shared" si="1307"/>
        <v>43506</v>
      </c>
      <c r="AA423" s="993">
        <f t="shared" si="1307"/>
        <v>43506</v>
      </c>
      <c r="AB423" s="305">
        <f t="shared" si="1307"/>
        <v>46524</v>
      </c>
      <c r="AC423" s="305">
        <f t="shared" si="1307"/>
        <v>49099</v>
      </c>
      <c r="AD423" s="305">
        <f t="shared" si="1307"/>
        <v>57224</v>
      </c>
      <c r="AE423" s="305">
        <f t="shared" si="1307"/>
        <v>74629</v>
      </c>
      <c r="AF423" s="993">
        <f t="shared" si="1307"/>
        <v>74629</v>
      </c>
      <c r="AG423" s="305">
        <f t="shared" si="1307"/>
        <v>84020</v>
      </c>
      <c r="AH423" s="305">
        <f t="shared" si="1307"/>
        <v>90116</v>
      </c>
      <c r="AI423" s="305">
        <f t="shared" si="1307"/>
        <v>95942</v>
      </c>
      <c r="AJ423" s="305">
        <f t="shared" si="1307"/>
        <v>105947</v>
      </c>
      <c r="AK423" s="993">
        <f t="shared" si="1307"/>
        <v>105947</v>
      </c>
      <c r="AL423" s="305">
        <f t="shared" si="1307"/>
        <v>113728</v>
      </c>
      <c r="AM423" s="305">
        <f t="shared" si="1307"/>
        <v>127276</v>
      </c>
      <c r="AN423" s="305">
        <f>AN418+AN422</f>
        <v>132954</v>
      </c>
      <c r="AO423" s="305">
        <f t="shared" si="1308" ref="AO423:AP423">AO418+AO422</f>
        <v>136272</v>
      </c>
      <c r="AP423" s="993">
        <f t="shared" si="1308"/>
        <v>136272</v>
      </c>
      <c r="AQ423" s="305">
        <f t="shared" si="1309" ref="AQ423:AV423">AQ418+AQ422</f>
        <v>140748</v>
      </c>
      <c r="AR423" s="305">
        <f t="shared" si="1309"/>
        <v>147046</v>
      </c>
      <c r="AS423" s="305">
        <f t="shared" si="1309"/>
        <v>149519</v>
      </c>
      <c r="AT423" s="305">
        <f t="shared" si="1309"/>
        <v>148356</v>
      </c>
      <c r="AU423" s="993">
        <f t="shared" si="1309"/>
        <v>148356</v>
      </c>
      <c r="AV423" s="305">
        <f t="shared" si="1309"/>
        <v>147383</v>
      </c>
      <c r="AW423" s="305">
        <f t="shared" si="1310" ref="AW423:BB423">AW418+AW422</f>
        <v>144693</v>
      </c>
      <c r="AX423" s="305">
        <f t="shared" si="1310"/>
        <v>142079</v>
      </c>
      <c r="AY423" s="305">
        <f t="shared" si="1310"/>
        <v>146234</v>
      </c>
      <c r="AZ423" s="993">
        <f t="shared" si="1310"/>
        <v>146234</v>
      </c>
      <c r="BA423" s="305">
        <f t="shared" si="1310"/>
        <v>144172</v>
      </c>
      <c r="BB423" s="305">
        <f t="shared" si="1310"/>
        <v>145764</v>
      </c>
      <c r="BC423" s="305">
        <f t="shared" si="1311" ref="BC423:BH423">BC418+BC422</f>
        <v>147980</v>
      </c>
      <c r="BD423" s="305">
        <f t="shared" si="1311"/>
        <v>152505</v>
      </c>
      <c r="BE423" s="993">
        <f t="shared" si="1311"/>
        <v>152505</v>
      </c>
      <c r="BF423" s="305">
        <f t="shared" si="1311"/>
        <v>155440</v>
      </c>
      <c r="BG423" s="305">
        <f t="shared" si="1311"/>
        <v>158019</v>
      </c>
      <c r="BH423" s="743">
        <f t="shared" si="1311"/>
        <v>163729</v>
      </c>
      <c r="BI423" s="92"/>
      <c r="BJ423" s="989"/>
      <c r="BK423" s="92"/>
      <c r="BL423" s="92"/>
      <c r="BM423" s="92"/>
      <c r="BN423" s="92"/>
      <c r="BO423" s="989"/>
      <c r="BP423" s="989"/>
      <c r="BQ423" s="989"/>
      <c r="BR423" s="989"/>
      <c r="BS423" s="305"/>
    </row>
    <row r="424" spans="1:71" s="300" customFormat="1" ht="15" hidden="1" outlineLevel="1">
      <c r="A424" s="304" t="s">
        <v>406</v>
      </c>
      <c r="B424" s="233"/>
      <c r="C424" s="989"/>
      <c r="D424" s="989"/>
      <c r="E424" s="989"/>
      <c r="F424" s="989"/>
      <c r="G424" s="989"/>
      <c r="H424" s="92"/>
      <c r="I424" s="92"/>
      <c r="J424" s="92"/>
      <c r="K424" s="92"/>
      <c r="L424" s="993">
        <f>K424</f>
        <v>0</v>
      </c>
      <c r="M424" s="92"/>
      <c r="N424" s="92"/>
      <c r="O424" s="92"/>
      <c r="P424" s="92"/>
      <c r="Q424" s="993">
        <f>P424</f>
        <v>0</v>
      </c>
      <c r="R424" s="897">
        <v>2021</v>
      </c>
      <c r="S424" s="897">
        <v>2022</v>
      </c>
      <c r="T424" s="897">
        <v>2019</v>
      </c>
      <c r="U424" s="897">
        <v>2023</v>
      </c>
      <c r="V424" s="993">
        <f>U424</f>
        <v>2023</v>
      </c>
      <c r="W424" s="897">
        <v>2017</v>
      </c>
      <c r="X424" s="897">
        <v>2020</v>
      </c>
      <c r="Y424" s="897">
        <v>2019</v>
      </c>
      <c r="Z424" s="897">
        <v>2026</v>
      </c>
      <c r="AA424" s="993">
        <f>Z424</f>
        <v>2026</v>
      </c>
      <c r="AB424" s="897">
        <v>1937</v>
      </c>
      <c r="AC424" s="897">
        <v>1938</v>
      </c>
      <c r="AD424" s="897">
        <v>1937</v>
      </c>
      <c r="AE424" s="897">
        <v>1945</v>
      </c>
      <c r="AF424" s="993">
        <f>AE424</f>
        <v>1945</v>
      </c>
      <c r="AG424" s="897">
        <v>1936</v>
      </c>
      <c r="AH424" s="897">
        <v>1933</v>
      </c>
      <c r="AI424" s="897">
        <v>1926</v>
      </c>
      <c r="AJ424" s="897">
        <v>1923</v>
      </c>
      <c r="AK424" s="993">
        <f>AJ424</f>
        <v>1923</v>
      </c>
      <c r="AL424" s="897">
        <v>0</v>
      </c>
      <c r="AM424" s="897">
        <v>0</v>
      </c>
      <c r="AN424" s="897">
        <v>0</v>
      </c>
      <c r="AO424" s="897">
        <v>0</v>
      </c>
      <c r="AP424" s="993">
        <f>AO424</f>
        <v>0</v>
      </c>
      <c r="AQ424" s="897">
        <v>0</v>
      </c>
      <c r="AR424" s="92"/>
      <c r="AS424" s="92"/>
      <c r="AT424" s="92"/>
      <c r="AU424" s="993">
        <f>AT424</f>
        <v>0</v>
      </c>
      <c r="AV424" s="897">
        <v>0</v>
      </c>
      <c r="AW424" s="92"/>
      <c r="AX424" s="92"/>
      <c r="AY424" s="92"/>
      <c r="AZ424" s="993">
        <f>AY424</f>
        <v>0</v>
      </c>
      <c r="BA424" s="92"/>
      <c r="BB424" s="92"/>
      <c r="BC424" s="92"/>
      <c r="BD424" s="92"/>
      <c r="BE424" s="993">
        <f>BD424</f>
        <v>0</v>
      </c>
      <c r="BF424" s="92"/>
      <c r="BG424" s="92"/>
      <c r="BH424" s="464"/>
      <c r="BI424" s="92"/>
      <c r="BJ424" s="989"/>
      <c r="BK424" s="92"/>
      <c r="BL424" s="92"/>
      <c r="BM424" s="92"/>
      <c r="BN424" s="92"/>
      <c r="BO424" s="989"/>
      <c r="BP424" s="989"/>
      <c r="BQ424" s="989"/>
      <c r="BR424" s="989"/>
      <c r="BS424" s="305"/>
    </row>
    <row r="425" spans="1:71" s="300" customFormat="1" ht="15" hidden="1" outlineLevel="1">
      <c r="A425" s="304" t="s">
        <v>748</v>
      </c>
      <c r="B425" s="233"/>
      <c r="C425" s="989"/>
      <c r="D425" s="989"/>
      <c r="E425" s="989"/>
      <c r="F425" s="989"/>
      <c r="G425" s="989"/>
      <c r="H425" s="92"/>
      <c r="I425" s="92"/>
      <c r="J425" s="92"/>
      <c r="K425" s="92"/>
      <c r="L425" s="993">
        <f>K425</f>
        <v>0</v>
      </c>
      <c r="M425" s="92"/>
      <c r="N425" s="92"/>
      <c r="O425" s="92"/>
      <c r="P425" s="92"/>
      <c r="Q425" s="993">
        <f>P425</f>
        <v>0</v>
      </c>
      <c r="R425" s="897">
        <v>3726</v>
      </c>
      <c r="S425" s="897">
        <v>3752</v>
      </c>
      <c r="T425" s="897">
        <v>3733</v>
      </c>
      <c r="U425" s="897">
        <v>3755</v>
      </c>
      <c r="V425" s="993">
        <f>U425</f>
        <v>3755</v>
      </c>
      <c r="W425" s="897">
        <v>3992</v>
      </c>
      <c r="X425" s="897">
        <v>4064</v>
      </c>
      <c r="Y425" s="897">
        <v>4035</v>
      </c>
      <c r="Z425" s="897">
        <v>4033</v>
      </c>
      <c r="AA425" s="993">
        <f>Z425</f>
        <v>4033</v>
      </c>
      <c r="AB425" s="897">
        <v>4260</v>
      </c>
      <c r="AC425" s="897">
        <v>4283</v>
      </c>
      <c r="AD425" s="897">
        <v>4241</v>
      </c>
      <c r="AE425" s="897">
        <v>4208</v>
      </c>
      <c r="AF425" s="993">
        <f>AE425</f>
        <v>4208</v>
      </c>
      <c r="AG425" s="897">
        <v>4322</v>
      </c>
      <c r="AH425" s="897">
        <v>4296</v>
      </c>
      <c r="AI425" s="897">
        <v>4287</v>
      </c>
      <c r="AJ425" s="897">
        <v>4183</v>
      </c>
      <c r="AK425" s="993">
        <f>AJ425</f>
        <v>4183</v>
      </c>
      <c r="AL425" s="897">
        <v>4309</v>
      </c>
      <c r="AM425" s="897">
        <v>4410</v>
      </c>
      <c r="AN425" s="897">
        <v>4092</v>
      </c>
      <c r="AO425" s="897">
        <v>3950</v>
      </c>
      <c r="AP425" s="993">
        <f>AO425</f>
        <v>3950</v>
      </c>
      <c r="AQ425" s="897">
        <v>4522</v>
      </c>
      <c r="AR425" s="897">
        <v>4452</v>
      </c>
      <c r="AS425" s="897">
        <v>4378</v>
      </c>
      <c r="AT425" s="897">
        <v>4333</v>
      </c>
      <c r="AU425" s="993">
        <f>AT425</f>
        <v>4333</v>
      </c>
      <c r="AV425" s="897">
        <v>4484</v>
      </c>
      <c r="AW425" s="897">
        <v>4368</v>
      </c>
      <c r="AX425" s="897">
        <v>4320</v>
      </c>
      <c r="AY425" s="897">
        <v>4296</v>
      </c>
      <c r="AZ425" s="993">
        <f>AY425</f>
        <v>4296</v>
      </c>
      <c r="BA425" s="897">
        <v>4339</v>
      </c>
      <c r="BB425" s="897">
        <v>4273</v>
      </c>
      <c r="BC425" s="897">
        <v>4256</v>
      </c>
      <c r="BD425" s="897">
        <v>4143</v>
      </c>
      <c r="BE425" s="993">
        <f>BD425</f>
        <v>4143</v>
      </c>
      <c r="BF425" s="897">
        <v>4193</v>
      </c>
      <c r="BG425" s="897">
        <v>4181</v>
      </c>
      <c r="BH425" s="898">
        <v>4158</v>
      </c>
      <c r="BI425" s="92"/>
      <c r="BJ425" s="989"/>
      <c r="BK425" s="92"/>
      <c r="BL425" s="92"/>
      <c r="BM425" s="92"/>
      <c r="BN425" s="92"/>
      <c r="BO425" s="989"/>
      <c r="BP425" s="989"/>
      <c r="BQ425" s="989"/>
      <c r="BR425" s="989"/>
      <c r="BS425" s="305"/>
    </row>
    <row r="426" spans="1:71" s="300" customFormat="1" ht="15" hidden="1" outlineLevel="1">
      <c r="A426" s="110" t="s">
        <v>410</v>
      </c>
      <c r="B426" s="113"/>
      <c r="C426" s="995"/>
      <c r="D426" s="995"/>
      <c r="E426" s="995"/>
      <c r="F426" s="995"/>
      <c r="G426" s="995"/>
      <c r="H426" s="115"/>
      <c r="I426" s="115"/>
      <c r="J426" s="115"/>
      <c r="K426" s="115"/>
      <c r="L426" s="998">
        <f>K426</f>
        <v>0</v>
      </c>
      <c r="M426" s="115"/>
      <c r="N426" s="115"/>
      <c r="O426" s="115"/>
      <c r="P426" s="115"/>
      <c r="Q426" s="998">
        <f>P426</f>
        <v>0</v>
      </c>
      <c r="R426" s="900">
        <v>267</v>
      </c>
      <c r="S426" s="900">
        <v>261</v>
      </c>
      <c r="T426" s="900">
        <v>256</v>
      </c>
      <c r="U426" s="900">
        <v>251</v>
      </c>
      <c r="V426" s="998">
        <f>U426</f>
        <v>251</v>
      </c>
      <c r="W426" s="900">
        <v>246</v>
      </c>
      <c r="X426" s="900">
        <v>240</v>
      </c>
      <c r="Y426" s="900">
        <v>236</v>
      </c>
      <c r="Z426" s="900">
        <v>231</v>
      </c>
      <c r="AA426" s="998">
        <f>Z426</f>
        <v>231</v>
      </c>
      <c r="AB426" s="900">
        <v>225</v>
      </c>
      <c r="AC426" s="900">
        <v>220</v>
      </c>
      <c r="AD426" s="900">
        <v>215</v>
      </c>
      <c r="AE426" s="900">
        <v>211</v>
      </c>
      <c r="AF426" s="998">
        <f>AE426</f>
        <v>211</v>
      </c>
      <c r="AG426" s="900">
        <v>206</v>
      </c>
      <c r="AH426" s="900">
        <v>201</v>
      </c>
      <c r="AI426" s="900">
        <v>197</v>
      </c>
      <c r="AJ426" s="900">
        <v>192</v>
      </c>
      <c r="AK426" s="998">
        <f>AJ426</f>
        <v>192</v>
      </c>
      <c r="AL426" s="900">
        <v>0</v>
      </c>
      <c r="AM426" s="900">
        <v>0</v>
      </c>
      <c r="AN426" s="900">
        <v>0</v>
      </c>
      <c r="AO426" s="900">
        <v>0</v>
      </c>
      <c r="AP426" s="998">
        <f>AO426</f>
        <v>0</v>
      </c>
      <c r="AQ426" s="900">
        <v>0</v>
      </c>
      <c r="AR426" s="115"/>
      <c r="AS426" s="115"/>
      <c r="AT426" s="115"/>
      <c r="AU426" s="998">
        <f>AT426</f>
        <v>0</v>
      </c>
      <c r="AV426" s="900">
        <v>0</v>
      </c>
      <c r="AW426" s="115"/>
      <c r="AX426" s="115"/>
      <c r="AY426" s="115"/>
      <c r="AZ426" s="998">
        <f>AY426</f>
        <v>0</v>
      </c>
      <c r="BA426" s="115"/>
      <c r="BB426" s="115"/>
      <c r="BC426" s="115"/>
      <c r="BD426" s="115"/>
      <c r="BE426" s="998">
        <f>BD426</f>
        <v>0</v>
      </c>
      <c r="BF426" s="115"/>
      <c r="BG426" s="115"/>
      <c r="BH426" s="641"/>
      <c r="BI426" s="115"/>
      <c r="BJ426" s="995"/>
      <c r="BK426" s="115"/>
      <c r="BL426" s="115"/>
      <c r="BM426" s="115"/>
      <c r="BN426" s="115"/>
      <c r="BO426" s="995"/>
      <c r="BP426" s="995"/>
      <c r="BQ426" s="995"/>
      <c r="BR426" s="995"/>
      <c r="BS426" s="305"/>
    </row>
    <row r="427" spans="1:71" s="51" customFormat="1" ht="15" hidden="1" outlineLevel="1">
      <c r="A427" s="109" t="s">
        <v>411</v>
      </c>
      <c r="B427" s="391"/>
      <c r="C427" s="999">
        <f t="shared" si="1312" ref="C427:AJ427">C409+C413+C417+C423+C424+C425+C426</f>
        <v>25436</v>
      </c>
      <c r="D427" s="999">
        <f t="shared" si="1312"/>
        <v>29855</v>
      </c>
      <c r="E427" s="999">
        <f t="shared" si="1312"/>
        <v>30246</v>
      </c>
      <c r="F427" s="999">
        <f t="shared" si="1312"/>
        <v>32855</v>
      </c>
      <c r="G427" s="999">
        <f t="shared" si="1312"/>
        <v>33336</v>
      </c>
      <c r="H427" s="57">
        <f t="shared" si="1312"/>
        <v>33490</v>
      </c>
      <c r="I427" s="57">
        <f t="shared" si="1312"/>
        <v>33743</v>
      </c>
      <c r="J427" s="57">
        <f t="shared" si="1312"/>
        <v>33950</v>
      </c>
      <c r="K427" s="57">
        <f t="shared" si="1312"/>
        <v>34176</v>
      </c>
      <c r="L427" s="999">
        <f>K427</f>
        <v>34176</v>
      </c>
      <c r="M427" s="57">
        <f t="shared" si="1312"/>
        <v>34365</v>
      </c>
      <c r="N427" s="57">
        <f t="shared" si="1312"/>
        <v>34624</v>
      </c>
      <c r="O427" s="57">
        <f t="shared" si="1312"/>
        <v>34722</v>
      </c>
      <c r="P427" s="57">
        <f t="shared" si="1312"/>
        <v>34624.544000000002</v>
      </c>
      <c r="Q427" s="999">
        <f>P427</f>
        <v>34624.544000000002</v>
      </c>
      <c r="R427" s="57">
        <f t="shared" si="1312"/>
        <v>44353</v>
      </c>
      <c r="S427" s="57">
        <f t="shared" si="1312"/>
        <v>44247.076999999997</v>
      </c>
      <c r="T427" s="57">
        <f t="shared" si="1312"/>
        <v>43960</v>
      </c>
      <c r="U427" s="57">
        <f t="shared" si="1312"/>
        <v>43811</v>
      </c>
      <c r="V427" s="999">
        <f>U427</f>
        <v>43811</v>
      </c>
      <c r="W427" s="57">
        <f t="shared" si="1312"/>
        <v>73666</v>
      </c>
      <c r="X427" s="57">
        <f t="shared" si="1312"/>
        <v>74968</v>
      </c>
      <c r="Y427" s="57">
        <f t="shared" si="1312"/>
        <v>77641</v>
      </c>
      <c r="Z427" s="57">
        <f t="shared" si="1312"/>
        <v>82276</v>
      </c>
      <c r="AA427" s="999">
        <f>Z427</f>
        <v>82276</v>
      </c>
      <c r="AB427" s="57">
        <f t="shared" si="1312"/>
        <v>85500</v>
      </c>
      <c r="AC427" s="57">
        <f t="shared" si="1312"/>
        <v>88353</v>
      </c>
      <c r="AD427" s="57">
        <f t="shared" si="1312"/>
        <v>96601</v>
      </c>
      <c r="AE427" s="57">
        <f t="shared" si="1312"/>
        <v>114257</v>
      </c>
      <c r="AF427" s="999">
        <f>AE427</f>
        <v>114257</v>
      </c>
      <c r="AG427" s="57">
        <f t="shared" si="1312"/>
        <v>123871</v>
      </c>
      <c r="AH427" s="57">
        <f t="shared" si="1312"/>
        <v>130131</v>
      </c>
      <c r="AI427" s="57">
        <f t="shared" si="1312"/>
        <v>136000</v>
      </c>
      <c r="AJ427" s="57">
        <f t="shared" si="1312"/>
        <v>145937</v>
      </c>
      <c r="AK427" s="999">
        <f>AJ427</f>
        <v>145937</v>
      </c>
      <c r="AL427" s="57">
        <f>AL409+AL413+AL417+AL423+AL424+AL425+AL426</f>
        <v>151622</v>
      </c>
      <c r="AM427" s="57">
        <f>AM409+AM413+AM417+AM423+AM424+AM425+AM426</f>
        <v>165463</v>
      </c>
      <c r="AN427" s="57">
        <f>AN409+AN413+AN417+AN423+AN424+AN425+AN426</f>
        <v>170787</v>
      </c>
      <c r="AO427" s="57">
        <f t="shared" si="1313" ref="AO427">AO409+AO413+AO417+AO423+AO424+AO425+AO426</f>
        <v>173871</v>
      </c>
      <c r="AP427" s="999">
        <f>AO427</f>
        <v>173871</v>
      </c>
      <c r="AQ427" s="57">
        <f>AQ409+AQ413+AQ417+AQ423+AQ424+AQ425+AQ426</f>
        <v>182912</v>
      </c>
      <c r="AR427" s="57">
        <f>AR409+AR413+AR417+AR423+AR424+AR425+AR426</f>
        <v>189361</v>
      </c>
      <c r="AS427" s="57">
        <f>AS409+AS413+AS417+AS423+AS424+AS425+AS426</f>
        <v>191856</v>
      </c>
      <c r="AT427" s="57">
        <f>AT409+AT413+AT417+AT423+AT424+AT425+AT426</f>
        <v>190945</v>
      </c>
      <c r="AU427" s="999">
        <f>AT427</f>
        <v>190945</v>
      </c>
      <c r="AV427" s="57">
        <f>AV409+AV413+AV417+AV423+AV424+AV425+AV426</f>
        <v>190309</v>
      </c>
      <c r="AW427" s="57">
        <f>AW409+AW413+AW417+AW423+AW424+AW425+AW426</f>
        <v>187680</v>
      </c>
      <c r="AX427" s="57">
        <f>AX409+AX413+AX417+AX423+AX424+AX425+AX426</f>
        <v>185007</v>
      </c>
      <c r="AY427" s="57">
        <f>AY409+AY413+AY417+AY423+AY424+AY425+AY426</f>
        <v>189071</v>
      </c>
      <c r="AZ427" s="999">
        <f>AY427</f>
        <v>189071</v>
      </c>
      <c r="BA427" s="57">
        <f>BA409+BA413+BA417+BA423+BA424+BA425+BA426</f>
        <v>186726</v>
      </c>
      <c r="BB427" s="57">
        <f>BB409+BB413+BB417+BB423+BB424+BB425+BB426</f>
        <v>188022</v>
      </c>
      <c r="BC427" s="57">
        <f>BC409+BC413+BC417+BC423+BC424+BC425+BC426</f>
        <v>190089</v>
      </c>
      <c r="BD427" s="57">
        <f>BD409+BD413+BD417+BD423+BD424+BD425+BD426</f>
        <v>194416</v>
      </c>
      <c r="BE427" s="999">
        <f>BD427</f>
        <v>194416</v>
      </c>
      <c r="BF427" s="57">
        <f>BF409+BF413+BF417+BF423+BF424+BF425+BF426</f>
        <v>197326</v>
      </c>
      <c r="BG427" s="57">
        <f>BG409+BG413+BG417+BG423+BG424+BG425+BG426</f>
        <v>199877</v>
      </c>
      <c r="BH427" s="745">
        <f>BH409+BH413+BH417+BH423+BH424+BH425+BH426</f>
        <v>205483</v>
      </c>
      <c r="BI427" s="128"/>
      <c r="BJ427" s="1000"/>
      <c r="BK427" s="128"/>
      <c r="BL427" s="128"/>
      <c r="BM427" s="128"/>
      <c r="BN427" s="128"/>
      <c r="BO427" s="1000"/>
      <c r="BP427" s="1000"/>
      <c r="BQ427" s="1000"/>
      <c r="BR427" s="1000"/>
      <c r="BS427" s="57"/>
    </row>
    <row r="428" spans="1:71" s="22" customFormat="1" ht="15" collapsed="1">
      <c r="A428" s="491"/>
      <c r="B428" s="485"/>
      <c r="C428" s="1010"/>
      <c r="D428" s="1010"/>
      <c r="E428" s="1010"/>
      <c r="F428" s="1010"/>
      <c r="G428" s="1010"/>
      <c r="H428" s="840"/>
      <c r="I428" s="840"/>
      <c r="J428" s="840"/>
      <c r="K428" s="840"/>
      <c r="L428" s="1010"/>
      <c r="M428" s="840"/>
      <c r="N428" s="840"/>
      <c r="O428" s="840"/>
      <c r="P428" s="840"/>
      <c r="Q428" s="1010"/>
      <c r="R428" s="840"/>
      <c r="S428" s="840"/>
      <c r="T428" s="840"/>
      <c r="U428" s="840"/>
      <c r="V428" s="1010"/>
      <c r="W428" s="840"/>
      <c r="X428" s="840"/>
      <c r="Y428" s="840"/>
      <c r="Z428" s="840"/>
      <c r="AA428" s="1010"/>
      <c r="AB428" s="840"/>
      <c r="AC428" s="840"/>
      <c r="AD428" s="840"/>
      <c r="AE428" s="840"/>
      <c r="AF428" s="1010"/>
      <c r="AG428" s="840"/>
      <c r="AH428" s="840"/>
      <c r="AI428" s="840"/>
      <c r="AJ428" s="840"/>
      <c r="AK428" s="1010"/>
      <c r="AL428" s="840"/>
      <c r="AM428" s="840"/>
      <c r="AN428" s="840"/>
      <c r="AO428" s="840"/>
      <c r="AP428" s="1010"/>
      <c r="AQ428" s="840"/>
      <c r="AR428" s="840"/>
      <c r="AS428" s="840"/>
      <c r="AT428" s="840"/>
      <c r="AU428" s="1010"/>
      <c r="AV428" s="840"/>
      <c r="AW428" s="840"/>
      <c r="AX428" s="840"/>
      <c r="AY428" s="840"/>
      <c r="AZ428" s="1010"/>
      <c r="BA428" s="840"/>
      <c r="BB428" s="840"/>
      <c r="BC428" s="840"/>
      <c r="BD428" s="840"/>
      <c r="BE428" s="1010"/>
      <c r="BF428" s="840"/>
      <c r="BG428" s="840"/>
      <c r="BH428" s="841"/>
      <c r="BI428" s="840"/>
      <c r="BJ428" s="1010"/>
      <c r="BK428" s="840"/>
      <c r="BL428" s="840"/>
      <c r="BM428" s="840"/>
      <c r="BN428" s="840"/>
      <c r="BO428" s="1010"/>
      <c r="BP428" s="1010"/>
      <c r="BQ428" s="1010"/>
      <c r="BR428" s="1010"/>
      <c r="BS428" s="822"/>
    </row>
    <row r="429" spans="1:71" s="17" customFormat="1" ht="15">
      <c r="A429" s="818" t="s">
        <v>890</v>
      </c>
      <c r="B429" s="818"/>
      <c r="C429" s="837"/>
      <c r="D429" s="837"/>
      <c r="E429" s="837"/>
      <c r="F429" s="837"/>
      <c r="G429" s="837"/>
      <c r="H429" s="837"/>
      <c r="I429" s="837"/>
      <c r="J429" s="837"/>
      <c r="K429" s="837"/>
      <c r="L429" s="837"/>
      <c r="M429" s="837"/>
      <c r="N429" s="837"/>
      <c r="O429" s="837"/>
      <c r="P429" s="837"/>
      <c r="Q429" s="837"/>
      <c r="R429" s="837"/>
      <c r="S429" s="837"/>
      <c r="T429" s="837"/>
      <c r="U429" s="837"/>
      <c r="V429" s="837"/>
      <c r="W429" s="837"/>
      <c r="X429" s="837"/>
      <c r="Y429" s="837"/>
      <c r="Z429" s="837"/>
      <c r="AA429" s="837"/>
      <c r="AB429" s="837"/>
      <c r="AC429" s="837"/>
      <c r="AD429" s="837"/>
      <c r="AE429" s="837"/>
      <c r="AF429" s="837"/>
      <c r="AG429" s="837"/>
      <c r="AH429" s="837"/>
      <c r="AI429" s="837"/>
      <c r="AJ429" s="837"/>
      <c r="AK429" s="837"/>
      <c r="AL429" s="837"/>
      <c r="AM429" s="837"/>
      <c r="AN429" s="837"/>
      <c r="AO429" s="837"/>
      <c r="AP429" s="837"/>
      <c r="AQ429" s="837"/>
      <c r="AR429" s="837"/>
      <c r="AS429" s="837"/>
      <c r="AT429" s="837"/>
      <c r="AU429" s="837"/>
      <c r="AV429" s="837"/>
      <c r="AW429" s="837"/>
      <c r="AX429" s="837"/>
      <c r="AY429" s="837"/>
      <c r="AZ429" s="837"/>
      <c r="BA429" s="837"/>
      <c r="BB429" s="837"/>
      <c r="BC429" s="837"/>
      <c r="BD429" s="837"/>
      <c r="BE429" s="837"/>
      <c r="BF429" s="837"/>
      <c r="BG429" s="837"/>
      <c r="BH429" s="838"/>
      <c r="BI429" s="837"/>
      <c r="BJ429" s="837"/>
      <c r="BK429" s="837"/>
      <c r="BL429" s="837"/>
      <c r="BM429" s="837"/>
      <c r="BN429" s="837"/>
      <c r="BO429" s="837"/>
      <c r="BP429" s="837"/>
      <c r="BQ429" s="837"/>
      <c r="BR429" s="837"/>
      <c r="BS429" s="457"/>
    </row>
    <row r="430" spans="1:71" s="300" customFormat="1" ht="15" hidden="1" outlineLevel="1">
      <c r="A430" s="304" t="s">
        <v>892</v>
      </c>
      <c r="B430" s="233"/>
      <c r="C430" s="988">
        <v>36000</v>
      </c>
      <c r="D430" s="988">
        <v>35000</v>
      </c>
      <c r="E430" s="988">
        <v>37000</v>
      </c>
      <c r="F430" s="988">
        <v>38000</v>
      </c>
      <c r="G430" s="988">
        <v>38800</v>
      </c>
      <c r="H430" s="92"/>
      <c r="I430" s="92"/>
      <c r="J430" s="92"/>
      <c r="K430" s="92"/>
      <c r="L430" s="988">
        <v>39700</v>
      </c>
      <c r="M430" s="92"/>
      <c r="N430" s="92"/>
      <c r="O430" s="92"/>
      <c r="P430" s="92"/>
      <c r="Q430" s="988">
        <v>41100</v>
      </c>
      <c r="R430" s="92"/>
      <c r="S430" s="92"/>
      <c r="T430" s="92"/>
      <c r="U430" s="92"/>
      <c r="V430" s="988">
        <v>43050</v>
      </c>
      <c r="W430" s="92"/>
      <c r="X430" s="92"/>
      <c r="Y430" s="92"/>
      <c r="Z430" s="92"/>
      <c r="AA430" s="988">
        <v>42460</v>
      </c>
      <c r="AB430" s="92"/>
      <c r="AC430" s="92"/>
      <c r="AD430" s="92"/>
      <c r="AE430" s="92"/>
      <c r="AF430" s="988">
        <v>45140</v>
      </c>
      <c r="AG430" s="92"/>
      <c r="AH430" s="92"/>
      <c r="AI430" s="92"/>
      <c r="AJ430" s="92"/>
      <c r="AK430" s="988">
        <v>45780</v>
      </c>
      <c r="AL430" s="92"/>
      <c r="AM430" s="92"/>
      <c r="AN430" s="92"/>
      <c r="AO430" s="92"/>
      <c r="AP430" s="988">
        <v>41860</v>
      </c>
      <c r="AQ430" s="92"/>
      <c r="AR430" s="92"/>
      <c r="AS430" s="92"/>
      <c r="AT430" s="92"/>
      <c r="AU430" s="988">
        <v>54300</v>
      </c>
      <c r="AV430" s="92"/>
      <c r="AW430" s="92"/>
      <c r="AX430" s="92"/>
      <c r="AY430" s="92"/>
      <c r="AZ430" s="988">
        <v>54000</v>
      </c>
      <c r="BA430" s="92"/>
      <c r="BB430" s="92"/>
      <c r="BC430" s="92"/>
      <c r="BD430" s="92"/>
      <c r="BE430" s="988">
        <v>53000</v>
      </c>
      <c r="BF430" s="92"/>
      <c r="BG430" s="92"/>
      <c r="BH430" s="464"/>
      <c r="BI430" s="92"/>
      <c r="BJ430" s="989"/>
      <c r="BK430" s="92"/>
      <c r="BL430" s="92"/>
      <c r="BM430" s="92"/>
      <c r="BN430" s="92"/>
      <c r="BO430" s="989"/>
      <c r="BP430" s="989"/>
      <c r="BQ430" s="989"/>
      <c r="BR430" s="989"/>
      <c r="BS430" s="305"/>
    </row>
    <row r="431" spans="1:71" s="300" customFormat="1" ht="15" hidden="1" outlineLevel="1">
      <c r="A431" s="110" t="s">
        <v>893</v>
      </c>
      <c r="B431" s="113"/>
      <c r="C431" s="990">
        <v>800</v>
      </c>
      <c r="D431" s="990">
        <v>700</v>
      </c>
      <c r="E431" s="990">
        <v>600</v>
      </c>
      <c r="F431" s="990">
        <v>600</v>
      </c>
      <c r="G431" s="990">
        <v>600</v>
      </c>
      <c r="H431" s="115"/>
      <c r="I431" s="115"/>
      <c r="J431" s="115"/>
      <c r="K431" s="115"/>
      <c r="L431" s="990">
        <v>500</v>
      </c>
      <c r="M431" s="115"/>
      <c r="N431" s="115"/>
      <c r="O431" s="115"/>
      <c r="P431" s="115"/>
      <c r="Q431" s="990">
        <v>500</v>
      </c>
      <c r="R431" s="115"/>
      <c r="S431" s="115"/>
      <c r="T431" s="115"/>
      <c r="U431" s="115"/>
      <c r="V431" s="990">
        <v>450</v>
      </c>
      <c r="W431" s="115"/>
      <c r="X431" s="115"/>
      <c r="Y431" s="115"/>
      <c r="Z431" s="115"/>
      <c r="AA431" s="990">
        <v>440</v>
      </c>
      <c r="AB431" s="115"/>
      <c r="AC431" s="115"/>
      <c r="AD431" s="115"/>
      <c r="AE431" s="115"/>
      <c r="AF431" s="990">
        <v>560</v>
      </c>
      <c r="AG431" s="115"/>
      <c r="AH431" s="115"/>
      <c r="AI431" s="115"/>
      <c r="AJ431" s="115"/>
      <c r="AK431" s="990">
        <v>510</v>
      </c>
      <c r="AL431" s="115"/>
      <c r="AM431" s="115"/>
      <c r="AN431" s="115"/>
      <c r="AO431" s="115"/>
      <c r="AP431" s="990">
        <v>300</v>
      </c>
      <c r="AQ431" s="115"/>
      <c r="AR431" s="115"/>
      <c r="AS431" s="115"/>
      <c r="AT431" s="115"/>
      <c r="AU431" s="990">
        <v>400</v>
      </c>
      <c r="AV431" s="115"/>
      <c r="AW431" s="115"/>
      <c r="AX431" s="115"/>
      <c r="AY431" s="115"/>
      <c r="AZ431" s="990">
        <v>500</v>
      </c>
      <c r="BA431" s="115"/>
      <c r="BB431" s="115"/>
      <c r="BC431" s="115"/>
      <c r="BD431" s="115"/>
      <c r="BE431" s="990">
        <v>400</v>
      </c>
      <c r="BF431" s="115"/>
      <c r="BG431" s="115"/>
      <c r="BH431" s="641"/>
      <c r="BI431" s="115"/>
      <c r="BJ431" s="995"/>
      <c r="BK431" s="115"/>
      <c r="BL431" s="115"/>
      <c r="BM431" s="115"/>
      <c r="BN431" s="115"/>
      <c r="BO431" s="995"/>
      <c r="BP431" s="995"/>
      <c r="BQ431" s="995"/>
      <c r="BR431" s="995"/>
      <c r="BS431" s="305"/>
    </row>
    <row r="432" spans="1:71" s="51" customFormat="1" ht="15" hidden="1" outlineLevel="1">
      <c r="A432" s="109" t="s">
        <v>891</v>
      </c>
      <c r="B432" s="391"/>
      <c r="C432" s="999">
        <f>C430+C431</f>
        <v>36800</v>
      </c>
      <c r="D432" s="999">
        <f t="shared" si="1314" ref="D432:G432">D430+D431</f>
        <v>35700</v>
      </c>
      <c r="E432" s="999">
        <f t="shared" si="1314"/>
        <v>37600</v>
      </c>
      <c r="F432" s="999">
        <f t="shared" si="1314"/>
        <v>38600</v>
      </c>
      <c r="G432" s="999">
        <f t="shared" si="1314"/>
        <v>39400</v>
      </c>
      <c r="H432" s="128"/>
      <c r="I432" s="128"/>
      <c r="J432" s="128"/>
      <c r="K432" s="128"/>
      <c r="L432" s="999">
        <f>L430+L431</f>
        <v>40200</v>
      </c>
      <c r="M432" s="128"/>
      <c r="N432" s="128"/>
      <c r="O432" s="128"/>
      <c r="P432" s="128"/>
      <c r="Q432" s="999">
        <f t="shared" si="1315" ref="Q432">Q430+Q431</f>
        <v>41600</v>
      </c>
      <c r="R432" s="128"/>
      <c r="S432" s="128"/>
      <c r="T432" s="128"/>
      <c r="U432" s="128"/>
      <c r="V432" s="999">
        <f t="shared" si="1316" ref="V432">V430+V431</f>
        <v>43500</v>
      </c>
      <c r="W432" s="128"/>
      <c r="X432" s="128"/>
      <c r="Y432" s="128"/>
      <c r="Z432" s="128"/>
      <c r="AA432" s="999">
        <f t="shared" si="1317" ref="AA432">AA430+AA431</f>
        <v>42900</v>
      </c>
      <c r="AB432" s="128"/>
      <c r="AC432" s="128"/>
      <c r="AD432" s="128"/>
      <c r="AE432" s="128"/>
      <c r="AF432" s="999">
        <f t="shared" si="1318" ref="AF432">AF430+AF431</f>
        <v>45700</v>
      </c>
      <c r="AG432" s="128"/>
      <c r="AH432" s="128"/>
      <c r="AI432" s="128"/>
      <c r="AJ432" s="128"/>
      <c r="AK432" s="999">
        <f t="shared" si="1319" ref="AK432">AK430+AK431</f>
        <v>46290</v>
      </c>
      <c r="AL432" s="128"/>
      <c r="AM432" s="128"/>
      <c r="AN432" s="128"/>
      <c r="AO432" s="128"/>
      <c r="AP432" s="999">
        <f t="shared" si="1320" ref="AP432">AP430+AP431</f>
        <v>42160</v>
      </c>
      <c r="AQ432" s="128"/>
      <c r="AR432" s="128"/>
      <c r="AS432" s="128"/>
      <c r="AT432" s="128"/>
      <c r="AU432" s="999">
        <f t="shared" si="1321" ref="AU432">AU430+AU431</f>
        <v>54700</v>
      </c>
      <c r="AV432" s="128"/>
      <c r="AW432" s="128"/>
      <c r="AX432" s="128"/>
      <c r="AY432" s="128"/>
      <c r="AZ432" s="999">
        <f t="shared" si="1322" ref="AZ432">AZ430+AZ431</f>
        <v>54500</v>
      </c>
      <c r="BA432" s="128"/>
      <c r="BB432" s="128"/>
      <c r="BC432" s="128"/>
      <c r="BD432" s="128"/>
      <c r="BE432" s="1000">
        <f t="shared" si="1323" ref="BE432">BE430+BE431</f>
        <v>53400</v>
      </c>
      <c r="BF432" s="128"/>
      <c r="BG432" s="128"/>
      <c r="BH432" s="465"/>
      <c r="BI432" s="128"/>
      <c r="BJ432" s="1000"/>
      <c r="BK432" s="128"/>
      <c r="BL432" s="128"/>
      <c r="BM432" s="128"/>
      <c r="BN432" s="128"/>
      <c r="BO432" s="1000"/>
      <c r="BP432" s="1000"/>
      <c r="BQ432" s="1000"/>
      <c r="BR432" s="1000"/>
      <c r="BS432" s="57"/>
    </row>
    <row r="433" spans="1:71" s="22" customFormat="1" ht="15" collapsed="1">
      <c r="A433" s="491"/>
      <c r="B433" s="485"/>
      <c r="C433" s="1010"/>
      <c r="D433" s="1010"/>
      <c r="E433" s="1010"/>
      <c r="F433" s="1010"/>
      <c r="G433" s="1010"/>
      <c r="H433" s="840"/>
      <c r="I433" s="840"/>
      <c r="J433" s="840"/>
      <c r="K433" s="840"/>
      <c r="L433" s="1010"/>
      <c r="M433" s="840"/>
      <c r="N433" s="840"/>
      <c r="O433" s="840"/>
      <c r="P433" s="840"/>
      <c r="Q433" s="1010"/>
      <c r="R433" s="840"/>
      <c r="S433" s="840"/>
      <c r="T433" s="840"/>
      <c r="U433" s="840"/>
      <c r="V433" s="1010"/>
      <c r="W433" s="840"/>
      <c r="X433" s="840"/>
      <c r="Y433" s="840"/>
      <c r="Z433" s="840"/>
      <c r="AA433" s="1010"/>
      <c r="AB433" s="840"/>
      <c r="AC433" s="840"/>
      <c r="AD433" s="840"/>
      <c r="AE433" s="840"/>
      <c r="AF433" s="1010"/>
      <c r="AG433" s="840"/>
      <c r="AH433" s="840"/>
      <c r="AI433" s="840"/>
      <c r="AJ433" s="840"/>
      <c r="AK433" s="1010"/>
      <c r="AL433" s="840"/>
      <c r="AM433" s="840"/>
      <c r="AN433" s="840"/>
      <c r="AO433" s="840"/>
      <c r="AP433" s="1010"/>
      <c r="AQ433" s="840"/>
      <c r="AR433" s="840"/>
      <c r="AS433" s="840"/>
      <c r="AT433" s="840"/>
      <c r="AU433" s="1010"/>
      <c r="AV433" s="840"/>
      <c r="AW433" s="840"/>
      <c r="AX433" s="840"/>
      <c r="AY433" s="840"/>
      <c r="AZ433" s="1010"/>
      <c r="BA433" s="840"/>
      <c r="BB433" s="840"/>
      <c r="BC433" s="840"/>
      <c r="BD433" s="840"/>
      <c r="BE433" s="1010"/>
      <c r="BF433" s="840"/>
      <c r="BG433" s="840"/>
      <c r="BH433" s="841"/>
      <c r="BI433" s="840"/>
      <c r="BJ433" s="1010"/>
      <c r="BK433" s="840"/>
      <c r="BL433" s="840"/>
      <c r="BM433" s="840"/>
      <c r="BN433" s="840"/>
      <c r="BO433" s="1010"/>
      <c r="BP433" s="1010"/>
      <c r="BQ433" s="1010"/>
      <c r="BR433" s="1010"/>
      <c r="BS433" s="822"/>
    </row>
    <row r="434" spans="1:71" s="17" customFormat="1" ht="15">
      <c r="A434" s="818" t="s">
        <v>975</v>
      </c>
      <c r="B434" s="818"/>
      <c r="C434" s="837"/>
      <c r="D434" s="837"/>
      <c r="E434" s="837"/>
      <c r="F434" s="837"/>
      <c r="G434" s="837"/>
      <c r="H434" s="837"/>
      <c r="I434" s="837"/>
      <c r="J434" s="837"/>
      <c r="K434" s="837"/>
      <c r="L434" s="837"/>
      <c r="M434" s="837"/>
      <c r="N434" s="837"/>
      <c r="O434" s="837"/>
      <c r="P434" s="837"/>
      <c r="Q434" s="837"/>
      <c r="R434" s="837"/>
      <c r="S434" s="837"/>
      <c r="T434" s="837"/>
      <c r="U434" s="837"/>
      <c r="V434" s="837"/>
      <c r="W434" s="837"/>
      <c r="X434" s="837"/>
      <c r="Y434" s="837"/>
      <c r="Z434" s="837"/>
      <c r="AA434" s="837"/>
      <c r="AB434" s="837"/>
      <c r="AC434" s="837"/>
      <c r="AD434" s="837"/>
      <c r="AE434" s="837"/>
      <c r="AF434" s="837"/>
      <c r="AG434" s="837"/>
      <c r="AH434" s="837"/>
      <c r="AI434" s="837"/>
      <c r="AJ434" s="837"/>
      <c r="AK434" s="837"/>
      <c r="AL434" s="837"/>
      <c r="AM434" s="837"/>
      <c r="AN434" s="837"/>
      <c r="AO434" s="837"/>
      <c r="AP434" s="837"/>
      <c r="AQ434" s="837"/>
      <c r="AR434" s="837"/>
      <c r="AS434" s="837"/>
      <c r="AT434" s="837"/>
      <c r="AU434" s="837"/>
      <c r="AV434" s="837"/>
      <c r="AW434" s="837"/>
      <c r="AX434" s="837"/>
      <c r="AY434" s="837"/>
      <c r="AZ434" s="837"/>
      <c r="BA434" s="837"/>
      <c r="BB434" s="837"/>
      <c r="BC434" s="837"/>
      <c r="BD434" s="837"/>
      <c r="BE434" s="837"/>
      <c r="BF434" s="837"/>
      <c r="BG434" s="837"/>
      <c r="BH434" s="838"/>
      <c r="BI434" s="837"/>
      <c r="BJ434" s="837"/>
      <c r="BK434" s="837"/>
      <c r="BL434" s="837"/>
      <c r="BM434" s="837"/>
      <c r="BN434" s="837"/>
      <c r="BO434" s="837"/>
      <c r="BP434" s="837"/>
      <c r="BQ434" s="837"/>
      <c r="BR434" s="837"/>
      <c r="BS434" s="457"/>
    </row>
    <row r="435" spans="1:71" s="17" customFormat="1" ht="15" hidden="1" outlineLevel="1">
      <c r="A435" s="818" t="s">
        <v>833</v>
      </c>
      <c r="B435" s="818"/>
      <c r="C435" s="837"/>
      <c r="D435" s="837"/>
      <c r="E435" s="837"/>
      <c r="F435" s="837"/>
      <c r="G435" s="837"/>
      <c r="H435" s="837"/>
      <c r="I435" s="837"/>
      <c r="J435" s="837"/>
      <c r="K435" s="837"/>
      <c r="L435" s="837"/>
      <c r="M435" s="837"/>
      <c r="N435" s="837"/>
      <c r="O435" s="837"/>
      <c r="P435" s="837"/>
      <c r="Q435" s="837"/>
      <c r="R435" s="837"/>
      <c r="S435" s="837"/>
      <c r="T435" s="837"/>
      <c r="U435" s="837"/>
      <c r="V435" s="837"/>
      <c r="W435" s="837"/>
      <c r="X435" s="837"/>
      <c r="Y435" s="837"/>
      <c r="Z435" s="837"/>
      <c r="AA435" s="837"/>
      <c r="AB435" s="837"/>
      <c r="AC435" s="837"/>
      <c r="AD435" s="837"/>
      <c r="AE435" s="837"/>
      <c r="AF435" s="837"/>
      <c r="AG435" s="837"/>
      <c r="AH435" s="837"/>
      <c r="AI435" s="837"/>
      <c r="AJ435" s="837"/>
      <c r="AK435" s="837"/>
      <c r="AL435" s="837"/>
      <c r="AM435" s="837"/>
      <c r="AN435" s="837"/>
      <c r="AO435" s="837"/>
      <c r="AP435" s="837"/>
      <c r="AQ435" s="837"/>
      <c r="AR435" s="837"/>
      <c r="AS435" s="837"/>
      <c r="AT435" s="837"/>
      <c r="AU435" s="837"/>
      <c r="AV435" s="837"/>
      <c r="AW435" s="837"/>
      <c r="AX435" s="837"/>
      <c r="AY435" s="837"/>
      <c r="AZ435" s="837"/>
      <c r="BA435" s="837"/>
      <c r="BB435" s="837"/>
      <c r="BC435" s="837"/>
      <c r="BD435" s="837"/>
      <c r="BE435" s="837"/>
      <c r="BF435" s="837"/>
      <c r="BG435" s="837"/>
      <c r="BH435" s="838"/>
      <c r="BI435" s="837"/>
      <c r="BJ435" s="837"/>
      <c r="BK435" s="837"/>
      <c r="BL435" s="837"/>
      <c r="BM435" s="837"/>
      <c r="BN435" s="837"/>
      <c r="BO435" s="837"/>
      <c r="BP435" s="837"/>
      <c r="BQ435" s="837"/>
      <c r="BR435" s="837"/>
      <c r="BS435" s="457"/>
    </row>
    <row r="436" spans="1:71" s="300" customFormat="1" ht="15" hidden="1" outlineLevel="2">
      <c r="A436" s="304" t="s">
        <v>455</v>
      </c>
      <c r="B436" s="233"/>
      <c r="C436" s="989"/>
      <c r="D436" s="989"/>
      <c r="E436" s="989"/>
      <c r="F436" s="988">
        <v>16352</v>
      </c>
      <c r="G436" s="988">
        <v>16578</v>
      </c>
      <c r="H436" s="897">
        <v>4209</v>
      </c>
      <c r="I436" s="897">
        <v>4297</v>
      </c>
      <c r="J436" s="897">
        <v>4352</v>
      </c>
      <c r="K436" s="897">
        <v>4376</v>
      </c>
      <c r="L436" s="993">
        <f>SUM(H436,I436,J436,K436)</f>
        <v>17234</v>
      </c>
      <c r="M436" s="897">
        <v>4432</v>
      </c>
      <c r="N436" s="897">
        <v>4524</v>
      </c>
      <c r="O436" s="897">
        <v>4597</v>
      </c>
      <c r="P436" s="897">
        <v>4638</v>
      </c>
      <c r="Q436" s="993">
        <f>SUM(M436,N436,O436,P436)</f>
        <v>18191</v>
      </c>
      <c r="R436" s="897">
        <v>4667</v>
      </c>
      <c r="S436" s="897">
        <v>4745</v>
      </c>
      <c r="T436" s="897">
        <v>4793</v>
      </c>
      <c r="U436" s="897">
        <v>4826</v>
      </c>
      <c r="V436" s="993">
        <f>SUM(R436,S436,T436,U436)</f>
        <v>19031</v>
      </c>
      <c r="W436" s="897">
        <v>4839</v>
      </c>
      <c r="X436" s="897">
        <v>4884</v>
      </c>
      <c r="Y436" s="897">
        <v>4950</v>
      </c>
      <c r="Z436" s="897">
        <v>5003</v>
      </c>
      <c r="AA436" s="993">
        <f>SUM(W436,X436,Y436,Z436)</f>
        <v>19676</v>
      </c>
      <c r="AB436" s="897">
        <v>5046</v>
      </c>
      <c r="AC436" s="897">
        <v>5131</v>
      </c>
      <c r="AD436" s="897">
        <v>5210</v>
      </c>
      <c r="AE436" s="897">
        <v>5275</v>
      </c>
      <c r="AF436" s="993">
        <f>SUM(AB436,AC436,AD436,AE436)</f>
        <v>20662</v>
      </c>
      <c r="AG436" s="897">
        <v>5321</v>
      </c>
      <c r="AH436" s="897">
        <v>5404</v>
      </c>
      <c r="AI436" s="897">
        <v>5446</v>
      </c>
      <c r="AJ436" s="897">
        <v>5509</v>
      </c>
      <c r="AK436" s="993">
        <f>SUM(AG436,AH436,AI436,AJ436)</f>
        <v>21680</v>
      </c>
      <c r="AL436" s="897">
        <v>5532</v>
      </c>
      <c r="AM436" s="897">
        <v>5547</v>
      </c>
      <c r="AN436" s="897">
        <v>6081</v>
      </c>
      <c r="AO436" s="897">
        <v>5977</v>
      </c>
      <c r="AP436" s="988">
        <v>24115</v>
      </c>
      <c r="AQ436" s="92"/>
      <c r="AR436" s="92"/>
      <c r="AS436" s="92"/>
      <c r="AT436" s="92"/>
      <c r="AU436" s="989"/>
      <c r="AV436" s="92"/>
      <c r="AW436" s="92"/>
      <c r="AX436" s="92"/>
      <c r="AY436" s="92"/>
      <c r="AZ436" s="989"/>
      <c r="BA436" s="92"/>
      <c r="BB436" s="92"/>
      <c r="BC436" s="92"/>
      <c r="BD436" s="92"/>
      <c r="BE436" s="989"/>
      <c r="BF436" s="92"/>
      <c r="BG436" s="92"/>
      <c r="BH436" s="464"/>
      <c r="BI436" s="92"/>
      <c r="BJ436" s="989"/>
      <c r="BK436" s="92"/>
      <c r="BL436" s="92"/>
      <c r="BM436" s="92"/>
      <c r="BN436" s="92"/>
      <c r="BO436" s="989"/>
      <c r="BP436" s="989"/>
      <c r="BQ436" s="989"/>
      <c r="BR436" s="989"/>
      <c r="BS436" s="305"/>
    </row>
    <row r="437" spans="1:71" s="300" customFormat="1" ht="15" hidden="1" outlineLevel="2">
      <c r="A437" s="304" t="s">
        <v>456</v>
      </c>
      <c r="B437" s="233"/>
      <c r="C437" s="989"/>
      <c r="D437" s="989"/>
      <c r="E437" s="989"/>
      <c r="F437" s="988">
        <v>5980</v>
      </c>
      <c r="G437" s="988">
        <v>6183</v>
      </c>
      <c r="H437" s="897">
        <v>1580</v>
      </c>
      <c r="I437" s="897">
        <v>1594</v>
      </c>
      <c r="J437" s="897">
        <v>1616</v>
      </c>
      <c r="K437" s="897">
        <v>1625</v>
      </c>
      <c r="L437" s="993">
        <f>SUM(H437,I437,J437,K437)</f>
        <v>6415</v>
      </c>
      <c r="M437" s="897">
        <v>1631</v>
      </c>
      <c r="N437" s="897">
        <v>1645</v>
      </c>
      <c r="O437" s="897">
        <v>1663</v>
      </c>
      <c r="P437" s="897">
        <v>1674</v>
      </c>
      <c r="Q437" s="993">
        <f>SUM(M437,N437,O437,P437)</f>
        <v>6613</v>
      </c>
      <c r="R437" s="897">
        <v>1678</v>
      </c>
      <c r="S437" s="897">
        <v>1684</v>
      </c>
      <c r="T437" s="897">
        <v>1683</v>
      </c>
      <c r="U437" s="897">
        <v>1691</v>
      </c>
      <c r="V437" s="993">
        <f>SUM(R437,S437,T437,U437)</f>
        <v>6736</v>
      </c>
      <c r="W437" s="897">
        <v>1688</v>
      </c>
      <c r="X437" s="897">
        <v>1691</v>
      </c>
      <c r="Y437" s="897">
        <v>1707</v>
      </c>
      <c r="Z437" s="897">
        <v>1725</v>
      </c>
      <c r="AA437" s="993">
        <f>SUM(W437,X437,Y437,Z437)</f>
        <v>6811</v>
      </c>
      <c r="AB437" s="897">
        <v>1727</v>
      </c>
      <c r="AC437" s="897">
        <v>1742</v>
      </c>
      <c r="AD437" s="897">
        <v>1769</v>
      </c>
      <c r="AE437" s="897">
        <v>1787</v>
      </c>
      <c r="AF437" s="993">
        <f>SUM(AB437,AC437,AD437,AE437)</f>
        <v>7025</v>
      </c>
      <c r="AG437" s="897">
        <v>1811</v>
      </c>
      <c r="AH437" s="897">
        <v>1832</v>
      </c>
      <c r="AI437" s="897">
        <v>1868</v>
      </c>
      <c r="AJ437" s="897">
        <v>1892</v>
      </c>
      <c r="AK437" s="993">
        <f>SUM(AG437,AH437,AI437,AJ437)</f>
        <v>7403</v>
      </c>
      <c r="AL437" s="897">
        <v>1907</v>
      </c>
      <c r="AM437" s="897">
        <v>1924</v>
      </c>
      <c r="AN437" s="897">
        <v>1974</v>
      </c>
      <c r="AO437" s="897">
        <v>1993</v>
      </c>
      <c r="AP437" s="988">
        <v>7858</v>
      </c>
      <c r="AQ437" s="92"/>
      <c r="AR437" s="92"/>
      <c r="AS437" s="92"/>
      <c r="AT437" s="92"/>
      <c r="AU437" s="989"/>
      <c r="AV437" s="92"/>
      <c r="AW437" s="92"/>
      <c r="AX437" s="92"/>
      <c r="AY437" s="92"/>
      <c r="AZ437" s="989"/>
      <c r="BA437" s="92"/>
      <c r="BB437" s="92"/>
      <c r="BC437" s="92"/>
      <c r="BD437" s="92"/>
      <c r="BE437" s="989"/>
      <c r="BF437" s="92"/>
      <c r="BG437" s="92"/>
      <c r="BH437" s="464"/>
      <c r="BI437" s="92"/>
      <c r="BJ437" s="989"/>
      <c r="BK437" s="92"/>
      <c r="BL437" s="92"/>
      <c r="BM437" s="92"/>
      <c r="BN437" s="92"/>
      <c r="BO437" s="989"/>
      <c r="BP437" s="989"/>
      <c r="BQ437" s="989"/>
      <c r="BR437" s="989"/>
      <c r="BS437" s="305"/>
    </row>
    <row r="438" spans="1:71" s="300" customFormat="1" ht="15" hidden="1" outlineLevel="2">
      <c r="A438" s="304" t="s">
        <v>458</v>
      </c>
      <c r="B438" s="233"/>
      <c r="C438" s="989"/>
      <c r="D438" s="989"/>
      <c r="E438" s="989"/>
      <c r="F438" s="988">
        <v>1501</v>
      </c>
      <c r="G438" s="988">
        <v>1527</v>
      </c>
      <c r="H438" s="897">
        <v>385</v>
      </c>
      <c r="I438" s="897">
        <v>387</v>
      </c>
      <c r="J438" s="897">
        <v>389</v>
      </c>
      <c r="K438" s="897">
        <v>390</v>
      </c>
      <c r="L438" s="993">
        <f>SUM(H438,I438,J438,K438)</f>
        <v>1551</v>
      </c>
      <c r="M438" s="897">
        <v>391</v>
      </c>
      <c r="N438" s="897">
        <v>395</v>
      </c>
      <c r="O438" s="897">
        <v>396</v>
      </c>
      <c r="P438" s="897">
        <v>395</v>
      </c>
      <c r="Q438" s="993">
        <f>SUM(M438,N438,O438,P438)</f>
        <v>1577</v>
      </c>
      <c r="R438" s="897">
        <v>393</v>
      </c>
      <c r="S438" s="897">
        <v>397</v>
      </c>
      <c r="T438" s="897">
        <v>399</v>
      </c>
      <c r="U438" s="897">
        <v>403</v>
      </c>
      <c r="V438" s="993">
        <f>SUM(R438,S438,T438,U438)</f>
        <v>1592</v>
      </c>
      <c r="W438" s="897">
        <v>405</v>
      </c>
      <c r="X438" s="897">
        <v>411</v>
      </c>
      <c r="Y438" s="897">
        <v>414</v>
      </c>
      <c r="Z438" s="897">
        <v>419</v>
      </c>
      <c r="AA438" s="993">
        <f>SUM(W438,X438,Y438,Z438)</f>
        <v>1649</v>
      </c>
      <c r="AB438" s="897">
        <v>420</v>
      </c>
      <c r="AC438" s="897">
        <v>432</v>
      </c>
      <c r="AD438" s="897">
        <v>432</v>
      </c>
      <c r="AE438" s="897">
        <v>432</v>
      </c>
      <c r="AF438" s="993">
        <f>SUM(AB438,AC438,AD438,AE438)</f>
        <v>1716</v>
      </c>
      <c r="AG438" s="897">
        <v>437</v>
      </c>
      <c r="AH438" s="897">
        <v>440</v>
      </c>
      <c r="AI438" s="897">
        <v>447</v>
      </c>
      <c r="AJ438" s="897">
        <v>449</v>
      </c>
      <c r="AK438" s="993">
        <f>SUM(AG438,AH438,AI438,AJ438)</f>
        <v>1773</v>
      </c>
      <c r="AL438" s="897">
        <v>449</v>
      </c>
      <c r="AM438" s="897">
        <v>457</v>
      </c>
      <c r="AN438" s="897">
        <v>466</v>
      </c>
      <c r="AO438" s="897">
        <v>465</v>
      </c>
      <c r="AP438" s="988">
        <v>1841</v>
      </c>
      <c r="AQ438" s="92"/>
      <c r="AR438" s="92"/>
      <c r="AS438" s="92"/>
      <c r="AT438" s="92"/>
      <c r="AU438" s="989"/>
      <c r="AV438" s="92"/>
      <c r="AW438" s="92"/>
      <c r="AX438" s="92"/>
      <c r="AY438" s="92"/>
      <c r="AZ438" s="989"/>
      <c r="BA438" s="92"/>
      <c r="BB438" s="92"/>
      <c r="BC438" s="92"/>
      <c r="BD438" s="92"/>
      <c r="BE438" s="989"/>
      <c r="BF438" s="92"/>
      <c r="BG438" s="92"/>
      <c r="BH438" s="464"/>
      <c r="BI438" s="92"/>
      <c r="BJ438" s="989"/>
      <c r="BK438" s="92"/>
      <c r="BL438" s="92"/>
      <c r="BM438" s="92"/>
      <c r="BN438" s="92"/>
      <c r="BO438" s="989"/>
      <c r="BP438" s="989"/>
      <c r="BQ438" s="989"/>
      <c r="BR438" s="989"/>
      <c r="BS438" s="305"/>
    </row>
    <row r="439" spans="1:71" s="300" customFormat="1" ht="15" hidden="1" outlineLevel="2">
      <c r="A439" s="304" t="s">
        <v>457</v>
      </c>
      <c r="B439" s="233"/>
      <c r="C439" s="989"/>
      <c r="D439" s="989"/>
      <c r="E439" s="989"/>
      <c r="F439" s="988">
        <v>462</v>
      </c>
      <c r="G439" s="988">
        <v>456</v>
      </c>
      <c r="H439" s="897">
        <v>110</v>
      </c>
      <c r="I439" s="897">
        <v>121</v>
      </c>
      <c r="J439" s="897">
        <v>120</v>
      </c>
      <c r="K439" s="897">
        <v>125</v>
      </c>
      <c r="L439" s="993">
        <f>SUM(H439,I439,J439,K439)</f>
        <v>476</v>
      </c>
      <c r="M439" s="897">
        <v>125</v>
      </c>
      <c r="N439" s="897">
        <v>128</v>
      </c>
      <c r="O439" s="897">
        <v>128</v>
      </c>
      <c r="P439" s="897">
        <v>129</v>
      </c>
      <c r="Q439" s="993">
        <f>SUM(M439,N439,O439,P439)</f>
        <v>510</v>
      </c>
      <c r="R439" s="897">
        <v>129</v>
      </c>
      <c r="S439" s="897">
        <v>127</v>
      </c>
      <c r="T439" s="897">
        <v>127</v>
      </c>
      <c r="U439" s="897">
        <v>123</v>
      </c>
      <c r="V439" s="993">
        <f>SUM(R439,S439,T439,U439)</f>
        <v>506</v>
      </c>
      <c r="W439" s="897">
        <v>125</v>
      </c>
      <c r="X439" s="897">
        <v>118</v>
      </c>
      <c r="Y439" s="897">
        <v>124</v>
      </c>
      <c r="Z439" s="897">
        <v>128</v>
      </c>
      <c r="AA439" s="993">
        <f>SUM(W439,X439,Y439,Z439)</f>
        <v>495</v>
      </c>
      <c r="AB439" s="897">
        <v>136</v>
      </c>
      <c r="AC439" s="897">
        <v>165</v>
      </c>
      <c r="AD439" s="897">
        <v>176</v>
      </c>
      <c r="AE439" s="897">
        <v>178</v>
      </c>
      <c r="AF439" s="993">
        <f>SUM(AB439,AC439,AD439,AE439)</f>
        <v>655</v>
      </c>
      <c r="AG439" s="897">
        <v>183</v>
      </c>
      <c r="AH439" s="897">
        <v>226</v>
      </c>
      <c r="AI439" s="897">
        <v>236</v>
      </c>
      <c r="AJ439" s="897">
        <v>237</v>
      </c>
      <c r="AK439" s="993">
        <f>SUM(AG439,AH439,AI439,AJ439)</f>
        <v>882</v>
      </c>
      <c r="AL439" s="897">
        <v>218</v>
      </c>
      <c r="AM439" s="897">
        <v>159</v>
      </c>
      <c r="AN439" s="897">
        <v>183</v>
      </c>
      <c r="AO439" s="897">
        <v>207</v>
      </c>
      <c r="AP439" s="988">
        <v>767</v>
      </c>
      <c r="AQ439" s="92"/>
      <c r="AR439" s="92"/>
      <c r="AS439" s="92"/>
      <c r="AT439" s="92"/>
      <c r="AU439" s="989"/>
      <c r="AV439" s="92"/>
      <c r="AW439" s="92"/>
      <c r="AX439" s="92"/>
      <c r="AY439" s="92"/>
      <c r="AZ439" s="989"/>
      <c r="BA439" s="92"/>
      <c r="BB439" s="92"/>
      <c r="BC439" s="92"/>
      <c r="BD439" s="92"/>
      <c r="BE439" s="989"/>
      <c r="BF439" s="92"/>
      <c r="BG439" s="92"/>
      <c r="BH439" s="464"/>
      <c r="BI439" s="92"/>
      <c r="BJ439" s="989"/>
      <c r="BK439" s="92"/>
      <c r="BL439" s="92"/>
      <c r="BM439" s="92"/>
      <c r="BN439" s="92"/>
      <c r="BO439" s="989"/>
      <c r="BP439" s="989"/>
      <c r="BQ439" s="989"/>
      <c r="BR439" s="989"/>
      <c r="BS439" s="305"/>
    </row>
    <row r="440" spans="1:71" s="300" customFormat="1" ht="15" hidden="1" outlineLevel="2">
      <c r="A440" s="110" t="s">
        <v>541</v>
      </c>
      <c r="B440" s="113"/>
      <c r="C440" s="995"/>
      <c r="D440" s="995"/>
      <c r="E440" s="995"/>
      <c r="F440" s="990">
        <v>394</v>
      </c>
      <c r="G440" s="990">
        <v>471</v>
      </c>
      <c r="H440" s="900">
        <v>133</v>
      </c>
      <c r="I440" s="900">
        <v>131</v>
      </c>
      <c r="J440" s="900">
        <v>138</v>
      </c>
      <c r="K440" s="900">
        <v>140</v>
      </c>
      <c r="L440" s="998">
        <f>SUM(H440,I440,J440,K440)</f>
        <v>542</v>
      </c>
      <c r="M440" s="900">
        <v>141</v>
      </c>
      <c r="N440" s="900">
        <v>137</v>
      </c>
      <c r="O440" s="900">
        <v>148</v>
      </c>
      <c r="P440" s="900">
        <v>135</v>
      </c>
      <c r="Q440" s="998">
        <f>SUM(M440,N440,O440,P440)</f>
        <v>561</v>
      </c>
      <c r="R440" s="115"/>
      <c r="S440" s="115"/>
      <c r="T440" s="115"/>
      <c r="U440" s="115"/>
      <c r="V440" s="995"/>
      <c r="W440" s="115"/>
      <c r="X440" s="115"/>
      <c r="Y440" s="115"/>
      <c r="Z440" s="115"/>
      <c r="AA440" s="995"/>
      <c r="AB440" s="115"/>
      <c r="AC440" s="115"/>
      <c r="AD440" s="115"/>
      <c r="AE440" s="115"/>
      <c r="AF440" s="995"/>
      <c r="AG440" s="115"/>
      <c r="AH440" s="115"/>
      <c r="AI440" s="115"/>
      <c r="AJ440" s="115"/>
      <c r="AK440" s="995"/>
      <c r="AL440" s="115"/>
      <c r="AM440" s="115"/>
      <c r="AN440" s="115"/>
      <c r="AO440" s="115"/>
      <c r="AP440" s="995"/>
      <c r="AQ440" s="115"/>
      <c r="AR440" s="115"/>
      <c r="AS440" s="115"/>
      <c r="AT440" s="115"/>
      <c r="AU440" s="995"/>
      <c r="AV440" s="115"/>
      <c r="AW440" s="115"/>
      <c r="AX440" s="115"/>
      <c r="AY440" s="115"/>
      <c r="AZ440" s="995"/>
      <c r="BA440" s="115"/>
      <c r="BB440" s="115"/>
      <c r="BC440" s="115"/>
      <c r="BD440" s="115"/>
      <c r="BE440" s="995"/>
      <c r="BF440" s="115"/>
      <c r="BG440" s="115"/>
      <c r="BH440" s="641"/>
      <c r="BI440" s="115"/>
      <c r="BJ440" s="995"/>
      <c r="BK440" s="115"/>
      <c r="BL440" s="115"/>
      <c r="BM440" s="115"/>
      <c r="BN440" s="115"/>
      <c r="BO440" s="995"/>
      <c r="BP440" s="995"/>
      <c r="BQ440" s="995"/>
      <c r="BR440" s="995"/>
      <c r="BS440" s="305"/>
    </row>
    <row r="441" spans="1:71" s="51" customFormat="1" ht="15" hidden="1" outlineLevel="2">
      <c r="A441" s="109" t="s">
        <v>459</v>
      </c>
      <c r="B441" s="391"/>
      <c r="C441" s="1000"/>
      <c r="D441" s="1000"/>
      <c r="E441" s="1000"/>
      <c r="F441" s="999">
        <f t="shared" si="1324" ref="F441:L441">SUM(F436:F440)</f>
        <v>24689</v>
      </c>
      <c r="G441" s="999">
        <f t="shared" si="1324"/>
        <v>25215</v>
      </c>
      <c r="H441" s="57">
        <f t="shared" si="1324"/>
        <v>6417</v>
      </c>
      <c r="I441" s="57">
        <f t="shared" si="1324"/>
        <v>6530</v>
      </c>
      <c r="J441" s="57">
        <f t="shared" si="1324"/>
        <v>6615</v>
      </c>
      <c r="K441" s="57">
        <f t="shared" si="1324"/>
        <v>6656</v>
      </c>
      <c r="L441" s="999">
        <f t="shared" si="1324"/>
        <v>26218</v>
      </c>
      <c r="M441" s="57">
        <f>SUM(M436:M440)</f>
        <v>6720</v>
      </c>
      <c r="N441" s="57">
        <f t="shared" si="1325" ref="N441:AL441">SUM(N436:N440)</f>
        <v>6829</v>
      </c>
      <c r="O441" s="57">
        <f t="shared" si="1325"/>
        <v>6932</v>
      </c>
      <c r="P441" s="57">
        <f t="shared" si="1325"/>
        <v>6971</v>
      </c>
      <c r="Q441" s="999">
        <f t="shared" si="1325"/>
        <v>27452</v>
      </c>
      <c r="R441" s="57">
        <f t="shared" si="1325"/>
        <v>6867</v>
      </c>
      <c r="S441" s="57">
        <f t="shared" si="1325"/>
        <v>6953</v>
      </c>
      <c r="T441" s="57">
        <f t="shared" si="1325"/>
        <v>7002</v>
      </c>
      <c r="U441" s="57">
        <f t="shared" si="1325"/>
        <v>7043</v>
      </c>
      <c r="V441" s="999">
        <f t="shared" si="1325"/>
        <v>27865</v>
      </c>
      <c r="W441" s="57">
        <f t="shared" si="1325"/>
        <v>7057</v>
      </c>
      <c r="X441" s="57">
        <f t="shared" si="1325"/>
        <v>7104</v>
      </c>
      <c r="Y441" s="57">
        <f t="shared" si="1325"/>
        <v>7195</v>
      </c>
      <c r="Z441" s="57">
        <f t="shared" si="1325"/>
        <v>7275</v>
      </c>
      <c r="AA441" s="999">
        <f t="shared" si="1325"/>
        <v>28631</v>
      </c>
      <c r="AB441" s="57">
        <f t="shared" si="1325"/>
        <v>7329</v>
      </c>
      <c r="AC441" s="57">
        <f t="shared" si="1325"/>
        <v>7470</v>
      </c>
      <c r="AD441" s="57">
        <f t="shared" si="1325"/>
        <v>7587</v>
      </c>
      <c r="AE441" s="57">
        <f t="shared" si="1325"/>
        <v>7672</v>
      </c>
      <c r="AF441" s="999">
        <f t="shared" si="1325"/>
        <v>30058</v>
      </c>
      <c r="AG441" s="57">
        <f t="shared" si="1325"/>
        <v>7752</v>
      </c>
      <c r="AH441" s="57">
        <f t="shared" si="1325"/>
        <v>7902</v>
      </c>
      <c r="AI441" s="57">
        <f t="shared" si="1325"/>
        <v>7997</v>
      </c>
      <c r="AJ441" s="57">
        <f t="shared" si="1325"/>
        <v>8087</v>
      </c>
      <c r="AK441" s="999">
        <f t="shared" si="1325"/>
        <v>31738</v>
      </c>
      <c r="AL441" s="57">
        <f t="shared" si="1325"/>
        <v>8106</v>
      </c>
      <c r="AM441" s="57">
        <f>SUM(AM436:AM440)</f>
        <v>8087</v>
      </c>
      <c r="AN441" s="57">
        <f>SUM(AN436:AN440)</f>
        <v>8704</v>
      </c>
      <c r="AO441" s="57">
        <f t="shared" si="1326" ref="AO441:AP441">SUM(AO436:AO440)</f>
        <v>8642</v>
      </c>
      <c r="AP441" s="999">
        <f t="shared" si="1326"/>
        <v>34581</v>
      </c>
      <c r="AQ441" s="128"/>
      <c r="AR441" s="128"/>
      <c r="AS441" s="128"/>
      <c r="AT441" s="128"/>
      <c r="AU441" s="1000"/>
      <c r="AV441" s="128"/>
      <c r="AW441" s="128"/>
      <c r="AX441" s="128"/>
      <c r="AY441" s="128"/>
      <c r="AZ441" s="1000"/>
      <c r="BA441" s="128"/>
      <c r="BB441" s="128"/>
      <c r="BC441" s="128"/>
      <c r="BD441" s="128"/>
      <c r="BE441" s="1000"/>
      <c r="BF441" s="128"/>
      <c r="BG441" s="128"/>
      <c r="BH441" s="465"/>
      <c r="BI441" s="128"/>
      <c r="BJ441" s="1000"/>
      <c r="BK441" s="128"/>
      <c r="BL441" s="128"/>
      <c r="BM441" s="128"/>
      <c r="BN441" s="128"/>
      <c r="BO441" s="1000"/>
      <c r="BP441" s="1000"/>
      <c r="BQ441" s="1000"/>
      <c r="BR441" s="1000"/>
      <c r="BS441" s="57"/>
    </row>
    <row r="442" spans="1:71" s="300" customFormat="1" ht="15" hidden="1" outlineLevel="2">
      <c r="A442" s="304" t="s">
        <v>460</v>
      </c>
      <c r="B442" s="233"/>
      <c r="C442" s="989"/>
      <c r="D442" s="989"/>
      <c r="E442" s="989"/>
      <c r="F442" s="989"/>
      <c r="G442" s="989"/>
      <c r="H442" s="92"/>
      <c r="I442" s="92"/>
      <c r="J442" s="92"/>
      <c r="K442" s="92"/>
      <c r="L442" s="993">
        <f>SUM(H442,I442,J442,K442)</f>
        <v>0</v>
      </c>
      <c r="M442" s="92"/>
      <c r="N442" s="92"/>
      <c r="O442" s="92"/>
      <c r="P442" s="92"/>
      <c r="Q442" s="993">
        <f>SUM(M442,N442,O442,P442)</f>
        <v>0</v>
      </c>
      <c r="R442" s="92"/>
      <c r="S442" s="92"/>
      <c r="T442" s="92"/>
      <c r="U442" s="92"/>
      <c r="V442" s="993">
        <f>SUM(R442,S442,T442,U442)</f>
        <v>0</v>
      </c>
      <c r="W442" s="897">
        <v>53</v>
      </c>
      <c r="X442" s="897">
        <v>54</v>
      </c>
      <c r="Y442" s="897">
        <v>54</v>
      </c>
      <c r="Z442" s="897">
        <v>53</v>
      </c>
      <c r="AA442" s="993">
        <f>SUM(W442,X442,Y442,Z442)</f>
        <v>214</v>
      </c>
      <c r="AB442" s="897">
        <v>54</v>
      </c>
      <c r="AC442" s="897">
        <v>56</v>
      </c>
      <c r="AD442" s="897">
        <v>56</v>
      </c>
      <c r="AE442" s="897">
        <v>65</v>
      </c>
      <c r="AF442" s="993">
        <f>SUM(AB442,AC442,AD442,AE442)</f>
        <v>231</v>
      </c>
      <c r="AG442" s="897">
        <v>57</v>
      </c>
      <c r="AH442" s="897">
        <v>57</v>
      </c>
      <c r="AI442" s="897">
        <v>57</v>
      </c>
      <c r="AJ442" s="897">
        <v>58</v>
      </c>
      <c r="AK442" s="993">
        <f>SUM(AG442,AH442,AI442,AJ442)</f>
        <v>229</v>
      </c>
      <c r="AL442" s="897">
        <v>58</v>
      </c>
      <c r="AM442" s="897">
        <v>48</v>
      </c>
      <c r="AN442" s="897">
        <v>75</v>
      </c>
      <c r="AO442" s="897">
        <v>74</v>
      </c>
      <c r="AP442" s="988">
        <v>301</v>
      </c>
      <c r="AQ442" s="92"/>
      <c r="AR442" s="92"/>
      <c r="AS442" s="92"/>
      <c r="AT442" s="92"/>
      <c r="AU442" s="989"/>
      <c r="AV442" s="92"/>
      <c r="AW442" s="92"/>
      <c r="AX442" s="92"/>
      <c r="AY442" s="92"/>
      <c r="AZ442" s="989"/>
      <c r="BA442" s="92"/>
      <c r="BB442" s="92"/>
      <c r="BC442" s="92"/>
      <c r="BD442" s="92"/>
      <c r="BE442" s="989"/>
      <c r="BF442" s="92"/>
      <c r="BG442" s="92"/>
      <c r="BH442" s="464"/>
      <c r="BI442" s="92"/>
      <c r="BJ442" s="989"/>
      <c r="BK442" s="92"/>
      <c r="BL442" s="92"/>
      <c r="BM442" s="92"/>
      <c r="BN442" s="92"/>
      <c r="BO442" s="989"/>
      <c r="BP442" s="989"/>
      <c r="BQ442" s="989"/>
      <c r="BR442" s="989"/>
      <c r="BS442" s="305"/>
    </row>
    <row r="443" spans="1:71" s="300" customFormat="1" ht="15" hidden="1" outlineLevel="2">
      <c r="A443" s="304" t="s">
        <v>461</v>
      </c>
      <c r="B443" s="233"/>
      <c r="C443" s="989"/>
      <c r="D443" s="989"/>
      <c r="E443" s="989"/>
      <c r="F443" s="989"/>
      <c r="G443" s="989"/>
      <c r="H443" s="92"/>
      <c r="I443" s="92"/>
      <c r="J443" s="92"/>
      <c r="K443" s="92"/>
      <c r="L443" s="993">
        <f>SUM(H443,I443,J443,K443)</f>
        <v>0</v>
      </c>
      <c r="M443" s="92"/>
      <c r="N443" s="92"/>
      <c r="O443" s="92"/>
      <c r="P443" s="92"/>
      <c r="Q443" s="993">
        <f>SUM(M443,N443,O443,P443)</f>
        <v>0</v>
      </c>
      <c r="R443" s="92"/>
      <c r="S443" s="92"/>
      <c r="T443" s="92"/>
      <c r="U443" s="92"/>
      <c r="V443" s="993">
        <f>SUM(R443,S443,T443,U443)</f>
        <v>0</v>
      </c>
      <c r="W443" s="897">
        <v>10</v>
      </c>
      <c r="X443" s="897">
        <v>10</v>
      </c>
      <c r="Y443" s="897">
        <v>10</v>
      </c>
      <c r="Z443" s="897">
        <v>12</v>
      </c>
      <c r="AA443" s="993">
        <f>SUM(W443,X443,Y443,Z443)</f>
        <v>42</v>
      </c>
      <c r="AB443" s="897">
        <v>11</v>
      </c>
      <c r="AC443" s="897">
        <v>11</v>
      </c>
      <c r="AD443" s="897">
        <v>11</v>
      </c>
      <c r="AE443" s="897">
        <v>12</v>
      </c>
      <c r="AF443" s="993">
        <f>SUM(AB443,AC443,AD443,AE443)</f>
        <v>45</v>
      </c>
      <c r="AG443" s="897">
        <v>11</v>
      </c>
      <c r="AH443" s="897">
        <v>11</v>
      </c>
      <c r="AI443" s="897">
        <v>12</v>
      </c>
      <c r="AJ443" s="897">
        <v>11</v>
      </c>
      <c r="AK443" s="993">
        <f>SUM(AG443,AH443,AI443,AJ443)</f>
        <v>45</v>
      </c>
      <c r="AL443" s="897">
        <v>11</v>
      </c>
      <c r="AM443" s="897">
        <v>10</v>
      </c>
      <c r="AN443" s="897">
        <v>10</v>
      </c>
      <c r="AO443" s="897">
        <v>11</v>
      </c>
      <c r="AP443" s="988">
        <v>43</v>
      </c>
      <c r="AQ443" s="92"/>
      <c r="AR443" s="92"/>
      <c r="AS443" s="92"/>
      <c r="AT443" s="92"/>
      <c r="AU443" s="989"/>
      <c r="AV443" s="92"/>
      <c r="AW443" s="92"/>
      <c r="AX443" s="92"/>
      <c r="AY443" s="92"/>
      <c r="AZ443" s="989"/>
      <c r="BA443" s="92"/>
      <c r="BB443" s="92"/>
      <c r="BC443" s="92"/>
      <c r="BD443" s="92"/>
      <c r="BE443" s="989"/>
      <c r="BF443" s="92"/>
      <c r="BG443" s="92"/>
      <c r="BH443" s="464"/>
      <c r="BI443" s="92"/>
      <c r="BJ443" s="989"/>
      <c r="BK443" s="92"/>
      <c r="BL443" s="92"/>
      <c r="BM443" s="92"/>
      <c r="BN443" s="92"/>
      <c r="BO443" s="989"/>
      <c r="BP443" s="989"/>
      <c r="BQ443" s="989"/>
      <c r="BR443" s="989"/>
      <c r="BS443" s="305"/>
    </row>
    <row r="444" spans="1:71" s="300" customFormat="1" ht="15" hidden="1" outlineLevel="2">
      <c r="A444" s="304" t="s">
        <v>462</v>
      </c>
      <c r="B444" s="233"/>
      <c r="C444" s="989"/>
      <c r="D444" s="989"/>
      <c r="E444" s="989"/>
      <c r="F444" s="989"/>
      <c r="G444" s="989"/>
      <c r="H444" s="92"/>
      <c r="I444" s="92"/>
      <c r="J444" s="92"/>
      <c r="K444" s="92"/>
      <c r="L444" s="993">
        <f>SUM(H444,I444,J444,K444)</f>
        <v>0</v>
      </c>
      <c r="M444" s="92"/>
      <c r="N444" s="92"/>
      <c r="O444" s="92"/>
      <c r="P444" s="92"/>
      <c r="Q444" s="993">
        <f>SUM(M444,N444,O444,P444)</f>
        <v>0</v>
      </c>
      <c r="R444" s="92"/>
      <c r="S444" s="92"/>
      <c r="T444" s="92"/>
      <c r="U444" s="92"/>
      <c r="V444" s="993">
        <f>SUM(R444,S444,T444,U444)</f>
        <v>0</v>
      </c>
      <c r="W444" s="897">
        <v>26</v>
      </c>
      <c r="X444" s="897">
        <v>33</v>
      </c>
      <c r="Y444" s="897">
        <v>38</v>
      </c>
      <c r="Z444" s="897">
        <v>30</v>
      </c>
      <c r="AA444" s="993">
        <f>SUM(W444,X444,Y444,Z444)</f>
        <v>127</v>
      </c>
      <c r="AB444" s="897">
        <v>28</v>
      </c>
      <c r="AC444" s="897">
        <v>34</v>
      </c>
      <c r="AD444" s="897">
        <v>36</v>
      </c>
      <c r="AE444" s="897">
        <v>34</v>
      </c>
      <c r="AF444" s="993">
        <f>SUM(AB444,AC444,AD444,AE444)</f>
        <v>132</v>
      </c>
      <c r="AG444" s="897">
        <v>28</v>
      </c>
      <c r="AH444" s="897">
        <v>35</v>
      </c>
      <c r="AI444" s="897">
        <v>37</v>
      </c>
      <c r="AJ444" s="897">
        <v>31</v>
      </c>
      <c r="AK444" s="993">
        <f>SUM(AG444,AH444,AI444,AJ444)</f>
        <v>131</v>
      </c>
      <c r="AL444" s="897">
        <v>29</v>
      </c>
      <c r="AM444" s="897">
        <v>36</v>
      </c>
      <c r="AN444" s="897">
        <v>40</v>
      </c>
      <c r="AO444" s="897">
        <v>32</v>
      </c>
      <c r="AP444" s="988">
        <v>136</v>
      </c>
      <c r="AQ444" s="92"/>
      <c r="AR444" s="92"/>
      <c r="AS444" s="92"/>
      <c r="AT444" s="92"/>
      <c r="AU444" s="989"/>
      <c r="AV444" s="92"/>
      <c r="AW444" s="92"/>
      <c r="AX444" s="92"/>
      <c r="AY444" s="92"/>
      <c r="AZ444" s="989"/>
      <c r="BA444" s="92"/>
      <c r="BB444" s="92"/>
      <c r="BC444" s="92"/>
      <c r="BD444" s="92"/>
      <c r="BE444" s="989"/>
      <c r="BF444" s="92"/>
      <c r="BG444" s="92"/>
      <c r="BH444" s="464"/>
      <c r="BI444" s="92"/>
      <c r="BJ444" s="989"/>
      <c r="BK444" s="92"/>
      <c r="BL444" s="92"/>
      <c r="BM444" s="92"/>
      <c r="BN444" s="92"/>
      <c r="BO444" s="989"/>
      <c r="BP444" s="989"/>
      <c r="BQ444" s="989"/>
      <c r="BR444" s="989"/>
      <c r="BS444" s="305"/>
    </row>
    <row r="445" spans="1:71" s="300" customFormat="1" ht="15" hidden="1" outlineLevel="2">
      <c r="A445" s="304" t="s">
        <v>463</v>
      </c>
      <c r="B445" s="233"/>
      <c r="C445" s="989"/>
      <c r="D445" s="989"/>
      <c r="E445" s="989"/>
      <c r="F445" s="989"/>
      <c r="G445" s="989"/>
      <c r="H445" s="92"/>
      <c r="I445" s="92"/>
      <c r="J445" s="92"/>
      <c r="K445" s="92"/>
      <c r="L445" s="993">
        <f>SUM(H445,I445,J445,K445)</f>
        <v>0</v>
      </c>
      <c r="M445" s="92"/>
      <c r="N445" s="92"/>
      <c r="O445" s="92"/>
      <c r="P445" s="92"/>
      <c r="Q445" s="993">
        <f>SUM(M445,N445,O445,P445)</f>
        <v>0</v>
      </c>
      <c r="R445" s="92"/>
      <c r="S445" s="92"/>
      <c r="T445" s="92"/>
      <c r="U445" s="92"/>
      <c r="V445" s="993">
        <f>SUM(R445,S445,T445,U445)</f>
        <v>0</v>
      </c>
      <c r="W445" s="897">
        <v>3</v>
      </c>
      <c r="X445" s="897">
        <v>3</v>
      </c>
      <c r="Y445" s="897">
        <v>2</v>
      </c>
      <c r="Z445" s="897">
        <v>0</v>
      </c>
      <c r="AA445" s="993">
        <f>SUM(W445,X445,Y445,Z445)</f>
        <v>8</v>
      </c>
      <c r="AB445" s="897">
        <v>2</v>
      </c>
      <c r="AC445" s="897">
        <v>1</v>
      </c>
      <c r="AD445" s="897">
        <v>2</v>
      </c>
      <c r="AE445" s="897">
        <v>1</v>
      </c>
      <c r="AF445" s="993">
        <f>SUM(AB445,AC445,AD445,AE445)</f>
        <v>6</v>
      </c>
      <c r="AG445" s="897">
        <v>1</v>
      </c>
      <c r="AH445" s="897">
        <v>2</v>
      </c>
      <c r="AI445" s="897">
        <v>1</v>
      </c>
      <c r="AJ445" s="897">
        <v>2</v>
      </c>
      <c r="AK445" s="993">
        <f>SUM(AG445,AH445,AI445,AJ445)</f>
        <v>6</v>
      </c>
      <c r="AL445" s="897">
        <v>1</v>
      </c>
      <c r="AM445" s="897">
        <v>2</v>
      </c>
      <c r="AN445" s="897">
        <v>1</v>
      </c>
      <c r="AO445" s="897">
        <v>1</v>
      </c>
      <c r="AP445" s="988">
        <v>5</v>
      </c>
      <c r="AQ445" s="92"/>
      <c r="AR445" s="92"/>
      <c r="AS445" s="92"/>
      <c r="AT445" s="92"/>
      <c r="AU445" s="989"/>
      <c r="AV445" s="92"/>
      <c r="AW445" s="92"/>
      <c r="AX445" s="92"/>
      <c r="AY445" s="92"/>
      <c r="AZ445" s="989"/>
      <c r="BA445" s="92"/>
      <c r="BB445" s="92"/>
      <c r="BC445" s="92"/>
      <c r="BD445" s="92"/>
      <c r="BE445" s="989"/>
      <c r="BF445" s="92"/>
      <c r="BG445" s="92"/>
      <c r="BH445" s="464"/>
      <c r="BI445" s="92"/>
      <c r="BJ445" s="989"/>
      <c r="BK445" s="92"/>
      <c r="BL445" s="92"/>
      <c r="BM445" s="92"/>
      <c r="BN445" s="92"/>
      <c r="BO445" s="989"/>
      <c r="BP445" s="989"/>
      <c r="BQ445" s="989"/>
      <c r="BR445" s="989"/>
      <c r="BS445" s="305"/>
    </row>
    <row r="446" spans="1:71" s="300" customFormat="1" ht="15" hidden="1" outlineLevel="2">
      <c r="A446" s="110" t="s">
        <v>486</v>
      </c>
      <c r="B446" s="113"/>
      <c r="C446" s="995"/>
      <c r="D446" s="995"/>
      <c r="E446" s="995"/>
      <c r="F446" s="995"/>
      <c r="G446" s="995"/>
      <c r="H446" s="115"/>
      <c r="I446" s="115"/>
      <c r="J446" s="115"/>
      <c r="K446" s="115"/>
      <c r="L446" s="998">
        <f>SUM(H446,I446,J446,K446)</f>
        <v>0</v>
      </c>
      <c r="M446" s="115"/>
      <c r="N446" s="115"/>
      <c r="O446" s="115"/>
      <c r="P446" s="115"/>
      <c r="Q446" s="998">
        <f>SUM(M446,N446,O446,P446)</f>
        <v>0</v>
      </c>
      <c r="R446" s="115"/>
      <c r="S446" s="115"/>
      <c r="T446" s="115"/>
      <c r="U446" s="115"/>
      <c r="V446" s="998">
        <f>SUM(R446,S446,T446,U446)</f>
        <v>0</v>
      </c>
      <c r="W446" s="900">
        <v>39</v>
      </c>
      <c r="X446" s="900">
        <v>45</v>
      </c>
      <c r="Y446" s="900">
        <v>45</v>
      </c>
      <c r="Z446" s="900">
        <v>39</v>
      </c>
      <c r="AA446" s="998">
        <f>SUM(W446,X446,Y446,Z446)</f>
        <v>168</v>
      </c>
      <c r="AB446" s="900">
        <v>41</v>
      </c>
      <c r="AC446" s="900">
        <v>41</v>
      </c>
      <c r="AD446" s="900">
        <v>47</v>
      </c>
      <c r="AE446" s="900">
        <v>39</v>
      </c>
      <c r="AF446" s="998">
        <f>SUM(AB446,AC446,AD446,AE446)</f>
        <v>168</v>
      </c>
      <c r="AG446" s="900">
        <v>38</v>
      </c>
      <c r="AH446" s="900">
        <v>46</v>
      </c>
      <c r="AI446" s="900">
        <v>46</v>
      </c>
      <c r="AJ446" s="900">
        <v>42</v>
      </c>
      <c r="AK446" s="998">
        <f>SUM(AG446,AH446,AI446,AJ446)</f>
        <v>172</v>
      </c>
      <c r="AL446" s="900">
        <v>40</v>
      </c>
      <c r="AM446" s="900">
        <v>45</v>
      </c>
      <c r="AN446" s="900">
        <v>47</v>
      </c>
      <c r="AO446" s="900">
        <v>46</v>
      </c>
      <c r="AP446" s="990">
        <v>178</v>
      </c>
      <c r="AQ446" s="115"/>
      <c r="AR446" s="115"/>
      <c r="AS446" s="115"/>
      <c r="AT446" s="115"/>
      <c r="AU446" s="995"/>
      <c r="AV446" s="115"/>
      <c r="AW446" s="115"/>
      <c r="AX446" s="115"/>
      <c r="AY446" s="115"/>
      <c r="AZ446" s="995"/>
      <c r="BA446" s="115"/>
      <c r="BB446" s="115"/>
      <c r="BC446" s="115"/>
      <c r="BD446" s="115"/>
      <c r="BE446" s="995"/>
      <c r="BF446" s="115"/>
      <c r="BG446" s="115"/>
      <c r="BH446" s="641"/>
      <c r="BI446" s="115"/>
      <c r="BJ446" s="995"/>
      <c r="BK446" s="115"/>
      <c r="BL446" s="115"/>
      <c r="BM446" s="115"/>
      <c r="BN446" s="115"/>
      <c r="BO446" s="995"/>
      <c r="BP446" s="995"/>
      <c r="BQ446" s="995"/>
      <c r="BR446" s="995"/>
      <c r="BS446" s="305"/>
    </row>
    <row r="447" spans="1:71" s="51" customFormat="1" ht="15" hidden="1" outlineLevel="2">
      <c r="A447" s="109" t="s">
        <v>464</v>
      </c>
      <c r="B447" s="391"/>
      <c r="C447" s="1000"/>
      <c r="D447" s="1000"/>
      <c r="E447" s="1000"/>
      <c r="F447" s="999">
        <f t="shared" si="1327" ref="F447">SUM(F442:F446)</f>
        <v>0</v>
      </c>
      <c r="G447" s="999">
        <f t="shared" si="1328" ref="G447">SUM(G442:G446)</f>
        <v>0</v>
      </c>
      <c r="H447" s="57">
        <f t="shared" si="1329" ref="H447">SUM(H442:H446)</f>
        <v>0</v>
      </c>
      <c r="I447" s="57">
        <f t="shared" si="1330" ref="I447">SUM(I442:I446)</f>
        <v>0</v>
      </c>
      <c r="J447" s="57">
        <f t="shared" si="1331" ref="J447">SUM(J442:J446)</f>
        <v>0</v>
      </c>
      <c r="K447" s="57">
        <f t="shared" si="1332" ref="K447:L447">SUM(K442:K446)</f>
        <v>0</v>
      </c>
      <c r="L447" s="999">
        <f t="shared" si="1332"/>
        <v>0</v>
      </c>
      <c r="M447" s="57">
        <f t="shared" si="1333" ref="M447">SUM(M442:M446)</f>
        <v>0</v>
      </c>
      <c r="N447" s="57">
        <f t="shared" si="1334" ref="N447">SUM(N442:N446)</f>
        <v>0</v>
      </c>
      <c r="O447" s="57">
        <f t="shared" si="1335" ref="O447">SUM(O442:O446)</f>
        <v>0</v>
      </c>
      <c r="P447" s="57">
        <f t="shared" si="1336" ref="P447:Q447">SUM(P442:P446)</f>
        <v>0</v>
      </c>
      <c r="Q447" s="999">
        <f t="shared" si="1336"/>
        <v>0</v>
      </c>
      <c r="R447" s="57">
        <f t="shared" si="1337" ref="R447">SUM(R442:R446)</f>
        <v>0</v>
      </c>
      <c r="S447" s="57">
        <f t="shared" si="1338" ref="S447">SUM(S442:S446)</f>
        <v>0</v>
      </c>
      <c r="T447" s="57">
        <f t="shared" si="1339" ref="T447">SUM(T442:T446)</f>
        <v>0</v>
      </c>
      <c r="U447" s="57">
        <f t="shared" si="1340" ref="U447:V447">SUM(U442:U446)</f>
        <v>0</v>
      </c>
      <c r="V447" s="999">
        <f t="shared" si="1340"/>
        <v>0</v>
      </c>
      <c r="W447" s="57">
        <f t="shared" si="1341" ref="W447">SUM(W442:W446)</f>
        <v>131</v>
      </c>
      <c r="X447" s="57">
        <f t="shared" si="1342" ref="X447">SUM(X442:X446)</f>
        <v>145</v>
      </c>
      <c r="Y447" s="57">
        <f t="shared" si="1343" ref="Y447">SUM(Y442:Y446)</f>
        <v>149</v>
      </c>
      <c r="Z447" s="57">
        <f t="shared" si="1344" ref="Z447:AA447">SUM(Z442:Z446)</f>
        <v>134</v>
      </c>
      <c r="AA447" s="999">
        <f t="shared" si="1344"/>
        <v>559</v>
      </c>
      <c r="AB447" s="57">
        <f t="shared" si="1345" ref="AB447">SUM(AB442:AB446)</f>
        <v>136</v>
      </c>
      <c r="AC447" s="57">
        <f t="shared" si="1346" ref="AC447">SUM(AC442:AC446)</f>
        <v>143</v>
      </c>
      <c r="AD447" s="57">
        <f t="shared" si="1347" ref="AD447">SUM(AD442:AD446)</f>
        <v>152</v>
      </c>
      <c r="AE447" s="57">
        <f t="shared" si="1348" ref="AE447">SUM(AE442:AE446)</f>
        <v>151</v>
      </c>
      <c r="AF447" s="999">
        <f t="shared" si="1349" ref="AF447:AK447">SUM(AF442:AF446)</f>
        <v>582</v>
      </c>
      <c r="AG447" s="57">
        <f t="shared" si="1349"/>
        <v>135</v>
      </c>
      <c r="AH447" s="57">
        <f t="shared" si="1349"/>
        <v>151</v>
      </c>
      <c r="AI447" s="57">
        <f t="shared" si="1349"/>
        <v>153</v>
      </c>
      <c r="AJ447" s="57">
        <f t="shared" si="1349"/>
        <v>144</v>
      </c>
      <c r="AK447" s="999">
        <f t="shared" si="1349"/>
        <v>583</v>
      </c>
      <c r="AL447" s="57">
        <f>SUM(AL442:AL446)</f>
        <v>139</v>
      </c>
      <c r="AM447" s="57">
        <f>SUM(AM442:AM446)</f>
        <v>141</v>
      </c>
      <c r="AN447" s="57">
        <f>SUM(AN442:AN446)</f>
        <v>173</v>
      </c>
      <c r="AO447" s="57">
        <f t="shared" si="1350" ref="AO447:AP447">SUM(AO442:AO446)</f>
        <v>164</v>
      </c>
      <c r="AP447" s="999">
        <f t="shared" si="1350"/>
        <v>663</v>
      </c>
      <c r="AQ447" s="128"/>
      <c r="AR447" s="128"/>
      <c r="AS447" s="128"/>
      <c r="AT447" s="128"/>
      <c r="AU447" s="1000"/>
      <c r="AV447" s="128"/>
      <c r="AW447" s="128"/>
      <c r="AX447" s="128"/>
      <c r="AY447" s="128"/>
      <c r="AZ447" s="1000"/>
      <c r="BA447" s="128"/>
      <c r="BB447" s="128"/>
      <c r="BC447" s="128"/>
      <c r="BD447" s="128"/>
      <c r="BE447" s="1000"/>
      <c r="BF447" s="128"/>
      <c r="BG447" s="128"/>
      <c r="BH447" s="465"/>
      <c r="BI447" s="128"/>
      <c r="BJ447" s="1000"/>
      <c r="BK447" s="128"/>
      <c r="BL447" s="128"/>
      <c r="BM447" s="128"/>
      <c r="BN447" s="128"/>
      <c r="BO447" s="1000"/>
      <c r="BP447" s="1000"/>
      <c r="BQ447" s="1000"/>
      <c r="BR447" s="1000"/>
      <c r="BS447" s="57"/>
    </row>
    <row r="448" spans="1:71" s="300" customFormat="1" ht="15" hidden="1" outlineLevel="2">
      <c r="A448" s="304" t="s">
        <v>465</v>
      </c>
      <c r="B448" s="233"/>
      <c r="C448" s="989"/>
      <c r="D448" s="989"/>
      <c r="E448" s="989"/>
      <c r="F448" s="988">
        <v>11494</v>
      </c>
      <c r="G448" s="988">
        <v>11350</v>
      </c>
      <c r="H448" s="897">
        <v>2858</v>
      </c>
      <c r="I448" s="897">
        <v>3011</v>
      </c>
      <c r="J448" s="897">
        <v>2964</v>
      </c>
      <c r="K448" s="897">
        <v>3103</v>
      </c>
      <c r="L448" s="993">
        <f>SUM(H448,I448,J448,K448)</f>
        <v>11936</v>
      </c>
      <c r="M448" s="897">
        <v>3175</v>
      </c>
      <c r="N448" s="897">
        <v>3431</v>
      </c>
      <c r="O448" s="897">
        <v>3455</v>
      </c>
      <c r="P448" s="897">
        <v>3495</v>
      </c>
      <c r="Q448" s="993">
        <f>SUM(M448,N448,O448,P448)</f>
        <v>13556</v>
      </c>
      <c r="R448" s="897">
        <v>3519</v>
      </c>
      <c r="S448" s="897">
        <v>3634</v>
      </c>
      <c r="T448" s="897">
        <v>3610</v>
      </c>
      <c r="U448" s="897">
        <v>3417</v>
      </c>
      <c r="V448" s="993">
        <f>SUM(R448,S448,T448,U448)</f>
        <v>14180</v>
      </c>
      <c r="W448" s="897">
        <v>3224</v>
      </c>
      <c r="X448" s="897">
        <v>3442</v>
      </c>
      <c r="Y448" s="897">
        <v>3455</v>
      </c>
      <c r="Z448" s="897">
        <v>3289</v>
      </c>
      <c r="AA448" s="993">
        <f>SUM(W448,X448,Y448,Z448)</f>
        <v>13410</v>
      </c>
      <c r="AB448" s="897">
        <v>3189</v>
      </c>
      <c r="AC448" s="897">
        <v>3424</v>
      </c>
      <c r="AD448" s="897">
        <v>3495</v>
      </c>
      <c r="AE448" s="897">
        <v>3520</v>
      </c>
      <c r="AF448" s="993">
        <f>SUM(AB448,AC448,AD448,AE448)</f>
        <v>13628</v>
      </c>
      <c r="AG448" s="897">
        <v>3485</v>
      </c>
      <c r="AH448" s="897">
        <v>3698</v>
      </c>
      <c r="AI448" s="897">
        <v>3689</v>
      </c>
      <c r="AJ448" s="897">
        <v>3712</v>
      </c>
      <c r="AK448" s="993">
        <f>SUM(AG448,AH448,AI448,AJ448)</f>
        <v>14584</v>
      </c>
      <c r="AL448" s="897">
        <v>3378</v>
      </c>
      <c r="AM448" s="897">
        <v>2643</v>
      </c>
      <c r="AN448" s="897">
        <v>3631</v>
      </c>
      <c r="AO448" s="897">
        <v>3593</v>
      </c>
      <c r="AP448" s="988">
        <v>13875</v>
      </c>
      <c r="AQ448" s="92"/>
      <c r="AR448" s="92"/>
      <c r="AS448" s="92"/>
      <c r="AT448" s="92"/>
      <c r="AU448" s="989"/>
      <c r="AV448" s="92"/>
      <c r="AW448" s="92"/>
      <c r="AX448" s="92"/>
      <c r="AY448" s="92"/>
      <c r="AZ448" s="989"/>
      <c r="BA448" s="92"/>
      <c r="BB448" s="92"/>
      <c r="BC448" s="92"/>
      <c r="BD448" s="92"/>
      <c r="BE448" s="989"/>
      <c r="BF448" s="92"/>
      <c r="BG448" s="92"/>
      <c r="BH448" s="464"/>
      <c r="BI448" s="92"/>
      <c r="BJ448" s="989"/>
      <c r="BK448" s="92"/>
      <c r="BL448" s="92"/>
      <c r="BM448" s="92"/>
      <c r="BN448" s="92"/>
      <c r="BO448" s="989"/>
      <c r="BP448" s="989"/>
      <c r="BQ448" s="989"/>
      <c r="BR448" s="989"/>
      <c r="BS448" s="305"/>
    </row>
    <row r="449" spans="1:71" s="300" customFormat="1" ht="15" hidden="1" outlineLevel="2">
      <c r="A449" s="304" t="s">
        <v>466</v>
      </c>
      <c r="B449" s="233"/>
      <c r="C449" s="989"/>
      <c r="D449" s="989"/>
      <c r="E449" s="989"/>
      <c r="F449" s="988">
        <v>3834</v>
      </c>
      <c r="G449" s="988">
        <v>3299</v>
      </c>
      <c r="H449" s="897">
        <v>994</v>
      </c>
      <c r="I449" s="897">
        <v>1212</v>
      </c>
      <c r="J449" s="897">
        <v>930</v>
      </c>
      <c r="K449" s="897">
        <v>634</v>
      </c>
      <c r="L449" s="993">
        <f>SUM(H449,I449,J449,K449)</f>
        <v>3770</v>
      </c>
      <c r="M449" s="897">
        <v>894</v>
      </c>
      <c r="N449" s="897">
        <v>1147</v>
      </c>
      <c r="O449" s="897">
        <v>820</v>
      </c>
      <c r="P449" s="897">
        <v>816</v>
      </c>
      <c r="Q449" s="993">
        <f>SUM(M449,N449,O449,P449)</f>
        <v>3677</v>
      </c>
      <c r="R449" s="897">
        <v>1190</v>
      </c>
      <c r="S449" s="897">
        <v>1260</v>
      </c>
      <c r="T449" s="897">
        <v>893</v>
      </c>
      <c r="U449" s="897">
        <v>765</v>
      </c>
      <c r="V449" s="993">
        <f>SUM(R449,S449,T449,U449)</f>
        <v>4108</v>
      </c>
      <c r="W449" s="897">
        <v>1194</v>
      </c>
      <c r="X449" s="897">
        <v>1273</v>
      </c>
      <c r="Y449" s="897">
        <v>988</v>
      </c>
      <c r="Z449" s="897">
        <v>1052</v>
      </c>
      <c r="AA449" s="993">
        <f>SUM(W449,X449,Y449,Z449)</f>
        <v>4507</v>
      </c>
      <c r="AB449" s="897">
        <v>995</v>
      </c>
      <c r="AC449" s="897">
        <v>1308</v>
      </c>
      <c r="AD449" s="897">
        <v>1125</v>
      </c>
      <c r="AE449" s="897">
        <v>1445</v>
      </c>
      <c r="AF449" s="993">
        <f>SUM(AB449,AC449,AD449,AE449)</f>
        <v>4873</v>
      </c>
      <c r="AG449" s="897">
        <v>1254</v>
      </c>
      <c r="AH449" s="897">
        <v>1508</v>
      </c>
      <c r="AI449" s="897">
        <v>1082</v>
      </c>
      <c r="AJ449" s="897">
        <v>958</v>
      </c>
      <c r="AK449" s="993">
        <f>SUM(AG449,AH449,AI449,AJ449)</f>
        <v>4802</v>
      </c>
      <c r="AL449" s="897">
        <v>927</v>
      </c>
      <c r="AM449" s="897">
        <v>1626</v>
      </c>
      <c r="AN449" s="897">
        <v>1625</v>
      </c>
      <c r="AO449" s="897">
        <v>1091</v>
      </c>
      <c r="AP449" s="988">
        <v>5307</v>
      </c>
      <c r="AQ449" s="92"/>
      <c r="AR449" s="92"/>
      <c r="AS449" s="92"/>
      <c r="AT449" s="92"/>
      <c r="AU449" s="989"/>
      <c r="AV449" s="92"/>
      <c r="AW449" s="92"/>
      <c r="AX449" s="92"/>
      <c r="AY449" s="92"/>
      <c r="AZ449" s="989"/>
      <c r="BA449" s="92"/>
      <c r="BB449" s="92"/>
      <c r="BC449" s="92"/>
      <c r="BD449" s="92"/>
      <c r="BE449" s="989"/>
      <c r="BF449" s="92"/>
      <c r="BG449" s="92"/>
      <c r="BH449" s="464"/>
      <c r="BI449" s="92"/>
      <c r="BJ449" s="989"/>
      <c r="BK449" s="92"/>
      <c r="BL449" s="92"/>
      <c r="BM449" s="92"/>
      <c r="BN449" s="92"/>
      <c r="BO449" s="989"/>
      <c r="BP449" s="989"/>
      <c r="BQ449" s="989"/>
      <c r="BR449" s="989"/>
      <c r="BS449" s="305"/>
    </row>
    <row r="450" spans="1:71" s="300" customFormat="1" ht="15" hidden="1" outlineLevel="2">
      <c r="A450" s="304" t="s">
        <v>467</v>
      </c>
      <c r="B450" s="233"/>
      <c r="C450" s="989"/>
      <c r="D450" s="989"/>
      <c r="E450" s="989"/>
      <c r="F450" s="988">
        <v>1085</v>
      </c>
      <c r="G450" s="988">
        <v>894</v>
      </c>
      <c r="H450" s="897">
        <v>279</v>
      </c>
      <c r="I450" s="897">
        <v>226</v>
      </c>
      <c r="J450" s="897">
        <v>229</v>
      </c>
      <c r="K450" s="897">
        <v>223</v>
      </c>
      <c r="L450" s="993">
        <f>SUM(H450,I450,J450,K450)</f>
        <v>957</v>
      </c>
      <c r="M450" s="897">
        <v>244</v>
      </c>
      <c r="N450" s="897">
        <v>259</v>
      </c>
      <c r="O450" s="897">
        <v>241</v>
      </c>
      <c r="P450" s="897">
        <v>216</v>
      </c>
      <c r="Q450" s="993">
        <f>SUM(M450,N450,O450,P450)</f>
        <v>960</v>
      </c>
      <c r="R450" s="897">
        <v>261</v>
      </c>
      <c r="S450" s="897">
        <v>256</v>
      </c>
      <c r="T450" s="897">
        <v>236</v>
      </c>
      <c r="U450" s="897">
        <v>234</v>
      </c>
      <c r="V450" s="993">
        <f>SUM(R450,S450,T450,U450)</f>
        <v>987</v>
      </c>
      <c r="W450" s="897">
        <v>265</v>
      </c>
      <c r="X450" s="897">
        <v>258</v>
      </c>
      <c r="Y450" s="897">
        <v>312</v>
      </c>
      <c r="Z450" s="897">
        <v>226</v>
      </c>
      <c r="AA450" s="993">
        <f>SUM(W450,X450,Y450,Z450)</f>
        <v>1061</v>
      </c>
      <c r="AB450" s="897">
        <v>257</v>
      </c>
      <c r="AC450" s="897">
        <v>260</v>
      </c>
      <c r="AD450" s="897">
        <v>305</v>
      </c>
      <c r="AE450" s="897">
        <v>316</v>
      </c>
      <c r="AF450" s="993">
        <f>SUM(AB450,AC450,AD450,AE450)</f>
        <v>1138</v>
      </c>
      <c r="AG450" s="897">
        <v>292</v>
      </c>
      <c r="AH450" s="897">
        <v>281</v>
      </c>
      <c r="AI450" s="897">
        <v>277</v>
      </c>
      <c r="AJ450" s="897">
        <v>225</v>
      </c>
      <c r="AK450" s="993">
        <f>SUM(AG450,AH450,AI450,AJ450)</f>
        <v>1075</v>
      </c>
      <c r="AL450" s="897">
        <v>243</v>
      </c>
      <c r="AM450" s="897">
        <v>291</v>
      </c>
      <c r="AN450" s="897">
        <v>301</v>
      </c>
      <c r="AO450" s="897">
        <v>245</v>
      </c>
      <c r="AP450" s="988">
        <v>1083</v>
      </c>
      <c r="AQ450" s="92"/>
      <c r="AR450" s="92"/>
      <c r="AS450" s="92"/>
      <c r="AT450" s="92"/>
      <c r="AU450" s="989"/>
      <c r="AV450" s="92"/>
      <c r="AW450" s="92"/>
      <c r="AX450" s="92"/>
      <c r="AY450" s="92"/>
      <c r="AZ450" s="989"/>
      <c r="BA450" s="92"/>
      <c r="BB450" s="92"/>
      <c r="BC450" s="92"/>
      <c r="BD450" s="92"/>
      <c r="BE450" s="989"/>
      <c r="BF450" s="92"/>
      <c r="BG450" s="92"/>
      <c r="BH450" s="464"/>
      <c r="BI450" s="92"/>
      <c r="BJ450" s="989"/>
      <c r="BK450" s="92"/>
      <c r="BL450" s="92"/>
      <c r="BM450" s="92"/>
      <c r="BN450" s="92"/>
      <c r="BO450" s="989"/>
      <c r="BP450" s="989"/>
      <c r="BQ450" s="989"/>
      <c r="BR450" s="989"/>
      <c r="BS450" s="305"/>
    </row>
    <row r="451" spans="1:71" s="300" customFormat="1" ht="15" hidden="1" outlineLevel="2">
      <c r="A451" s="304" t="s">
        <v>468</v>
      </c>
      <c r="B451" s="233"/>
      <c r="C451" s="989"/>
      <c r="D451" s="989"/>
      <c r="E451" s="989"/>
      <c r="F451" s="988">
        <v>279</v>
      </c>
      <c r="G451" s="988">
        <v>277</v>
      </c>
      <c r="H451" s="897">
        <v>81</v>
      </c>
      <c r="I451" s="897">
        <v>78</v>
      </c>
      <c r="J451" s="897">
        <v>72</v>
      </c>
      <c r="K451" s="897">
        <v>88</v>
      </c>
      <c r="L451" s="993">
        <f>SUM(H451,I451,J451,K451)</f>
        <v>319</v>
      </c>
      <c r="M451" s="897">
        <v>98</v>
      </c>
      <c r="N451" s="897">
        <v>105</v>
      </c>
      <c r="O451" s="897">
        <v>97</v>
      </c>
      <c r="P451" s="897">
        <v>100</v>
      </c>
      <c r="Q451" s="993">
        <f>SUM(M451,N451,O451,P451)</f>
        <v>400</v>
      </c>
      <c r="R451" s="897">
        <v>119</v>
      </c>
      <c r="S451" s="897">
        <v>135</v>
      </c>
      <c r="T451" s="897">
        <v>112</v>
      </c>
      <c r="U451" s="897">
        <v>109</v>
      </c>
      <c r="V451" s="993">
        <f>SUM(R451,S451,T451,U451)</f>
        <v>475</v>
      </c>
      <c r="W451" s="897">
        <v>96</v>
      </c>
      <c r="X451" s="897">
        <v>86</v>
      </c>
      <c r="Y451" s="897">
        <v>103</v>
      </c>
      <c r="Z451" s="897">
        <v>89</v>
      </c>
      <c r="AA451" s="993">
        <f>SUM(W451,X451,Y451,Z451)</f>
        <v>374</v>
      </c>
      <c r="AB451" s="897">
        <v>107</v>
      </c>
      <c r="AC451" s="897">
        <v>166</v>
      </c>
      <c r="AD451" s="897">
        <v>184</v>
      </c>
      <c r="AE451" s="897">
        <v>141</v>
      </c>
      <c r="AF451" s="993">
        <f>SUM(AB451,AC451,AD451,AE451)</f>
        <v>598</v>
      </c>
      <c r="AG451" s="897">
        <v>139</v>
      </c>
      <c r="AH451" s="897">
        <v>196</v>
      </c>
      <c r="AI451" s="897">
        <v>197</v>
      </c>
      <c r="AJ451" s="897">
        <v>185</v>
      </c>
      <c r="AK451" s="993">
        <f>SUM(AG451,AH451,AI451,AJ451)</f>
        <v>717</v>
      </c>
      <c r="AL451" s="897">
        <v>171</v>
      </c>
      <c r="AM451" s="897">
        <v>125</v>
      </c>
      <c r="AN451" s="897">
        <v>153</v>
      </c>
      <c r="AO451" s="897">
        <v>183</v>
      </c>
      <c r="AP451" s="988">
        <v>632</v>
      </c>
      <c r="AQ451" s="92"/>
      <c r="AR451" s="92"/>
      <c r="AS451" s="92"/>
      <c r="AT451" s="92"/>
      <c r="AU451" s="989"/>
      <c r="AV451" s="92"/>
      <c r="AW451" s="92"/>
      <c r="AX451" s="92"/>
      <c r="AY451" s="92"/>
      <c r="AZ451" s="989"/>
      <c r="BA451" s="92"/>
      <c r="BB451" s="92"/>
      <c r="BC451" s="92"/>
      <c r="BD451" s="92"/>
      <c r="BE451" s="989"/>
      <c r="BF451" s="92"/>
      <c r="BG451" s="92"/>
      <c r="BH451" s="464"/>
      <c r="BI451" s="92"/>
      <c r="BJ451" s="989"/>
      <c r="BK451" s="92"/>
      <c r="BL451" s="92"/>
      <c r="BM451" s="92"/>
      <c r="BN451" s="92"/>
      <c r="BO451" s="989"/>
      <c r="BP451" s="989"/>
      <c r="BQ451" s="989"/>
      <c r="BR451" s="989"/>
      <c r="BS451" s="305"/>
    </row>
    <row r="452" spans="1:71" s="300" customFormat="1" ht="15" hidden="1" outlineLevel="2">
      <c r="A452" s="110" t="s">
        <v>542</v>
      </c>
      <c r="B452" s="113"/>
      <c r="C452" s="995"/>
      <c r="D452" s="995"/>
      <c r="E452" s="995"/>
      <c r="F452" s="990">
        <v>164</v>
      </c>
      <c r="G452" s="990">
        <v>214</v>
      </c>
      <c r="H452" s="900">
        <v>63</v>
      </c>
      <c r="I452" s="900">
        <v>64</v>
      </c>
      <c r="J452" s="900">
        <v>70</v>
      </c>
      <c r="K452" s="900">
        <v>65</v>
      </c>
      <c r="L452" s="998">
        <f>SUM(H452,I452,J452,K452)</f>
        <v>262</v>
      </c>
      <c r="M452" s="900">
        <v>69</v>
      </c>
      <c r="N452" s="900">
        <v>66</v>
      </c>
      <c r="O452" s="900">
        <v>71</v>
      </c>
      <c r="P452" s="900">
        <v>57</v>
      </c>
      <c r="Q452" s="998">
        <f>SUM(M452,N452,O452,P452)</f>
        <v>263</v>
      </c>
      <c r="R452" s="115"/>
      <c r="S452" s="115"/>
      <c r="T452" s="115"/>
      <c r="U452" s="115"/>
      <c r="V452" s="995"/>
      <c r="W452" s="115"/>
      <c r="X452" s="115"/>
      <c r="Y452" s="115"/>
      <c r="Z452" s="115"/>
      <c r="AA452" s="995"/>
      <c r="AB452" s="115"/>
      <c r="AC452" s="115"/>
      <c r="AD452" s="115"/>
      <c r="AE452" s="115"/>
      <c r="AF452" s="995"/>
      <c r="AG452" s="115"/>
      <c r="AH452" s="115"/>
      <c r="AI452" s="115"/>
      <c r="AJ452" s="115"/>
      <c r="AK452" s="995"/>
      <c r="AL452" s="115"/>
      <c r="AM452" s="115"/>
      <c r="AN452" s="115"/>
      <c r="AO452" s="115"/>
      <c r="AP452" s="995"/>
      <c r="AQ452" s="115"/>
      <c r="AR452" s="115"/>
      <c r="AS452" s="115"/>
      <c r="AT452" s="115"/>
      <c r="AU452" s="995"/>
      <c r="AV452" s="115"/>
      <c r="AW452" s="115"/>
      <c r="AX452" s="115"/>
      <c r="AY452" s="115"/>
      <c r="AZ452" s="995"/>
      <c r="BA452" s="115"/>
      <c r="BB452" s="115"/>
      <c r="BC452" s="115"/>
      <c r="BD452" s="115"/>
      <c r="BE452" s="995"/>
      <c r="BF452" s="115"/>
      <c r="BG452" s="115"/>
      <c r="BH452" s="641"/>
      <c r="BI452" s="115"/>
      <c r="BJ452" s="995"/>
      <c r="BK452" s="115"/>
      <c r="BL452" s="115"/>
      <c r="BM452" s="115"/>
      <c r="BN452" s="115"/>
      <c r="BO452" s="995"/>
      <c r="BP452" s="995"/>
      <c r="BQ452" s="995"/>
      <c r="BR452" s="995"/>
      <c r="BS452" s="305"/>
    </row>
    <row r="453" spans="1:71" s="51" customFormat="1" ht="15" hidden="1" outlineLevel="2">
      <c r="A453" s="109" t="s">
        <v>469</v>
      </c>
      <c r="B453" s="391"/>
      <c r="C453" s="1000"/>
      <c r="D453" s="1000"/>
      <c r="E453" s="1000"/>
      <c r="F453" s="999">
        <f t="shared" si="1351" ref="F453:P453">SUM(F448:F452)</f>
        <v>16856</v>
      </c>
      <c r="G453" s="999">
        <f t="shared" si="1351"/>
        <v>16034</v>
      </c>
      <c r="H453" s="57">
        <f t="shared" si="1351"/>
        <v>4275</v>
      </c>
      <c r="I453" s="57">
        <f t="shared" si="1351"/>
        <v>4591</v>
      </c>
      <c r="J453" s="57">
        <f t="shared" si="1351"/>
        <v>4265</v>
      </c>
      <c r="K453" s="57">
        <f t="shared" si="1351"/>
        <v>4113</v>
      </c>
      <c r="L453" s="999">
        <f>SUM(L448:L452)</f>
        <v>17244</v>
      </c>
      <c r="M453" s="57">
        <f t="shared" si="1351"/>
        <v>4480</v>
      </c>
      <c r="N453" s="57">
        <f t="shared" si="1351"/>
        <v>5008</v>
      </c>
      <c r="O453" s="57">
        <f t="shared" si="1351"/>
        <v>4684</v>
      </c>
      <c r="P453" s="57">
        <f t="shared" si="1351"/>
        <v>4684</v>
      </c>
      <c r="Q453" s="999">
        <f>SUM(Q448:Q452)</f>
        <v>18856</v>
      </c>
      <c r="R453" s="57">
        <f t="shared" si="1352" ref="R453:AL453">SUM(R448:R452)</f>
        <v>5089</v>
      </c>
      <c r="S453" s="57">
        <f t="shared" si="1352"/>
        <v>5285</v>
      </c>
      <c r="T453" s="57">
        <f t="shared" si="1352"/>
        <v>4851</v>
      </c>
      <c r="U453" s="57">
        <f t="shared" si="1352"/>
        <v>4525</v>
      </c>
      <c r="V453" s="999">
        <f t="shared" si="1352"/>
        <v>19750</v>
      </c>
      <c r="W453" s="57">
        <f t="shared" si="1352"/>
        <v>4779</v>
      </c>
      <c r="X453" s="57">
        <f t="shared" si="1352"/>
        <v>5059</v>
      </c>
      <c r="Y453" s="57">
        <f t="shared" si="1352"/>
        <v>4858</v>
      </c>
      <c r="Z453" s="57">
        <f t="shared" si="1352"/>
        <v>4656</v>
      </c>
      <c r="AA453" s="999">
        <f t="shared" si="1352"/>
        <v>19352</v>
      </c>
      <c r="AB453" s="57">
        <f t="shared" si="1352"/>
        <v>4548</v>
      </c>
      <c r="AC453" s="57">
        <f t="shared" si="1352"/>
        <v>5158</v>
      </c>
      <c r="AD453" s="57">
        <f t="shared" si="1352"/>
        <v>5109</v>
      </c>
      <c r="AE453" s="57">
        <f t="shared" si="1352"/>
        <v>5422</v>
      </c>
      <c r="AF453" s="999">
        <f t="shared" si="1352"/>
        <v>20237</v>
      </c>
      <c r="AG453" s="57">
        <f t="shared" si="1352"/>
        <v>5170</v>
      </c>
      <c r="AH453" s="57">
        <f t="shared" si="1352"/>
        <v>5683</v>
      </c>
      <c r="AI453" s="57">
        <f t="shared" si="1352"/>
        <v>5245</v>
      </c>
      <c r="AJ453" s="57">
        <f t="shared" si="1352"/>
        <v>5080</v>
      </c>
      <c r="AK453" s="999">
        <f t="shared" si="1352"/>
        <v>21178</v>
      </c>
      <c r="AL453" s="57">
        <f t="shared" si="1352"/>
        <v>4719</v>
      </c>
      <c r="AM453" s="57">
        <f>SUM(AM448:AM452)</f>
        <v>4685</v>
      </c>
      <c r="AN453" s="57">
        <f>SUM(AN448:AN452)</f>
        <v>5710</v>
      </c>
      <c r="AO453" s="57">
        <f t="shared" si="1353" ref="AO453:AP453">SUM(AO448:AO452)</f>
        <v>5112</v>
      </c>
      <c r="AP453" s="999">
        <f t="shared" si="1353"/>
        <v>20897</v>
      </c>
      <c r="AQ453" s="128"/>
      <c r="AR453" s="128"/>
      <c r="AS453" s="128"/>
      <c r="AT453" s="128"/>
      <c r="AU453" s="1000"/>
      <c r="AV453" s="128"/>
      <c r="AW453" s="128"/>
      <c r="AX453" s="128"/>
      <c r="AY453" s="128"/>
      <c r="AZ453" s="1000"/>
      <c r="BA453" s="128"/>
      <c r="BB453" s="128"/>
      <c r="BC453" s="128"/>
      <c r="BD453" s="128"/>
      <c r="BE453" s="1000"/>
      <c r="BF453" s="128"/>
      <c r="BG453" s="128"/>
      <c r="BH453" s="465"/>
      <c r="BI453" s="128"/>
      <c r="BJ453" s="1000"/>
      <c r="BK453" s="128"/>
      <c r="BL453" s="128"/>
      <c r="BM453" s="128"/>
      <c r="BN453" s="128"/>
      <c r="BO453" s="1000"/>
      <c r="BP453" s="1000"/>
      <c r="BQ453" s="1000"/>
      <c r="BR453" s="1000"/>
      <c r="BS453" s="57"/>
    </row>
    <row r="454" spans="1:71" s="300" customFormat="1" ht="15" hidden="1" outlineLevel="2">
      <c r="A454" s="304" t="s">
        <v>470</v>
      </c>
      <c r="B454" s="233"/>
      <c r="C454" s="989"/>
      <c r="D454" s="989"/>
      <c r="E454" s="989"/>
      <c r="F454" s="988">
        <v>4150</v>
      </c>
      <c r="G454" s="988">
        <v>4319</v>
      </c>
      <c r="H454" s="897">
        <v>1075</v>
      </c>
      <c r="I454" s="897">
        <v>1089</v>
      </c>
      <c r="J454" s="897">
        <v>1088</v>
      </c>
      <c r="K454" s="897">
        <v>1140</v>
      </c>
      <c r="L454" s="993">
        <f>SUM(H454,I454,J454,K454)</f>
        <v>4392</v>
      </c>
      <c r="M454" s="897">
        <v>1113</v>
      </c>
      <c r="N454" s="897">
        <v>1155</v>
      </c>
      <c r="O454" s="897">
        <v>1086</v>
      </c>
      <c r="P454" s="897">
        <v>1077</v>
      </c>
      <c r="Q454" s="993">
        <f>SUM(M454,N454,O454,P454)</f>
        <v>4431</v>
      </c>
      <c r="R454" s="897">
        <v>1103</v>
      </c>
      <c r="S454" s="897">
        <v>1174</v>
      </c>
      <c r="T454" s="897">
        <v>1140</v>
      </c>
      <c r="U454" s="897">
        <v>1184</v>
      </c>
      <c r="V454" s="993">
        <f>SUM(R454,S454,T454,U454)</f>
        <v>4601</v>
      </c>
      <c r="W454" s="897">
        <v>1216</v>
      </c>
      <c r="X454" s="897">
        <v>1282</v>
      </c>
      <c r="Y454" s="897">
        <v>1288</v>
      </c>
      <c r="Z454" s="897">
        <v>1363</v>
      </c>
      <c r="AA454" s="993">
        <f>SUM(W454,X454,Y454,Z454)</f>
        <v>5149</v>
      </c>
      <c r="AB454" s="897">
        <v>1300</v>
      </c>
      <c r="AC454" s="897">
        <v>1378</v>
      </c>
      <c r="AD454" s="897">
        <v>1380</v>
      </c>
      <c r="AE454" s="897">
        <v>1419</v>
      </c>
      <c r="AF454" s="993">
        <f>SUM(AB454,AC454,AD454,AE454)</f>
        <v>5477</v>
      </c>
      <c r="AG454" s="897">
        <v>1381</v>
      </c>
      <c r="AH454" s="897">
        <v>1376</v>
      </c>
      <c r="AI454" s="897">
        <v>1385</v>
      </c>
      <c r="AJ454" s="897">
        <v>1456</v>
      </c>
      <c r="AK454" s="993">
        <f>SUM(AG454,AH454,AI454,AJ454)</f>
        <v>5598</v>
      </c>
      <c r="AL454" s="897">
        <v>1560</v>
      </c>
      <c r="AM454" s="897">
        <v>2058</v>
      </c>
      <c r="AN454" s="897">
        <v>1628</v>
      </c>
      <c r="AO454" s="897">
        <v>1576</v>
      </c>
      <c r="AP454" s="988">
        <v>7137</v>
      </c>
      <c r="AQ454" s="92"/>
      <c r="AR454" s="92"/>
      <c r="AS454" s="92"/>
      <c r="AT454" s="92"/>
      <c r="AU454" s="989"/>
      <c r="AV454" s="92"/>
      <c r="AW454" s="92"/>
      <c r="AX454" s="92"/>
      <c r="AY454" s="92"/>
      <c r="AZ454" s="989"/>
      <c r="BA454" s="92"/>
      <c r="BB454" s="92"/>
      <c r="BC454" s="92"/>
      <c r="BD454" s="92"/>
      <c r="BE454" s="989"/>
      <c r="BF454" s="92"/>
      <c r="BG454" s="92"/>
      <c r="BH454" s="464"/>
      <c r="BI454" s="92"/>
      <c r="BJ454" s="989"/>
      <c r="BK454" s="92"/>
      <c r="BL454" s="92"/>
      <c r="BM454" s="92"/>
      <c r="BN454" s="92"/>
      <c r="BO454" s="989"/>
      <c r="BP454" s="989"/>
      <c r="BQ454" s="989"/>
      <c r="BR454" s="989"/>
      <c r="BS454" s="305"/>
    </row>
    <row r="455" spans="1:71" s="300" customFormat="1" ht="15" hidden="1" outlineLevel="2">
      <c r="A455" s="304" t="s">
        <v>471</v>
      </c>
      <c r="B455" s="233"/>
      <c r="C455" s="989"/>
      <c r="D455" s="989"/>
      <c r="E455" s="989"/>
      <c r="F455" s="988">
        <v>1428</v>
      </c>
      <c r="G455" s="988">
        <v>1516</v>
      </c>
      <c r="H455" s="897">
        <v>385</v>
      </c>
      <c r="I455" s="897">
        <v>359</v>
      </c>
      <c r="J455" s="897">
        <v>382</v>
      </c>
      <c r="K455" s="897">
        <v>399</v>
      </c>
      <c r="L455" s="993">
        <f>SUM(H455,I455,J455,K455)</f>
        <v>1525</v>
      </c>
      <c r="M455" s="897">
        <v>389</v>
      </c>
      <c r="N455" s="897">
        <v>372</v>
      </c>
      <c r="O455" s="897">
        <v>385</v>
      </c>
      <c r="P455" s="897">
        <v>372</v>
      </c>
      <c r="Q455" s="993">
        <f>SUM(M455,N455,O455,P455)</f>
        <v>1518</v>
      </c>
      <c r="R455" s="897">
        <v>377</v>
      </c>
      <c r="S455" s="897">
        <v>373</v>
      </c>
      <c r="T455" s="897">
        <v>384</v>
      </c>
      <c r="U455" s="897">
        <v>396</v>
      </c>
      <c r="V455" s="993">
        <f>SUM(R455,S455,T455,U455)</f>
        <v>1530</v>
      </c>
      <c r="W455" s="897">
        <v>397</v>
      </c>
      <c r="X455" s="897">
        <v>381</v>
      </c>
      <c r="Y455" s="897">
        <v>410</v>
      </c>
      <c r="Z455" s="897">
        <v>433</v>
      </c>
      <c r="AA455" s="993">
        <f>SUM(W455,X455,Y455,Z455)</f>
        <v>1621</v>
      </c>
      <c r="AB455" s="897">
        <v>406</v>
      </c>
      <c r="AC455" s="897">
        <v>408</v>
      </c>
      <c r="AD455" s="897">
        <v>438</v>
      </c>
      <c r="AE455" s="897">
        <v>449</v>
      </c>
      <c r="AF455" s="993">
        <f>SUM(AB455,AC455,AD455,AE455)</f>
        <v>1701</v>
      </c>
      <c r="AG455" s="897">
        <v>426</v>
      </c>
      <c r="AH455" s="897">
        <v>414</v>
      </c>
      <c r="AI455" s="897">
        <v>437</v>
      </c>
      <c r="AJ455" s="897">
        <v>459</v>
      </c>
      <c r="AK455" s="993">
        <f>SUM(AG455,AH455,AI455,AJ455)</f>
        <v>1736</v>
      </c>
      <c r="AL455" s="897">
        <v>436</v>
      </c>
      <c r="AM455" s="897">
        <v>426</v>
      </c>
      <c r="AN455" s="897">
        <v>452</v>
      </c>
      <c r="AO455" s="897">
        <v>471</v>
      </c>
      <c r="AP455" s="988">
        <v>1796</v>
      </c>
      <c r="AQ455" s="92"/>
      <c r="AR455" s="92"/>
      <c r="AS455" s="92"/>
      <c r="AT455" s="92"/>
      <c r="AU455" s="989"/>
      <c r="AV455" s="92"/>
      <c r="AW455" s="92"/>
      <c r="AX455" s="92"/>
      <c r="AY455" s="92"/>
      <c r="AZ455" s="989"/>
      <c r="BA455" s="92"/>
      <c r="BB455" s="92"/>
      <c r="BC455" s="92"/>
      <c r="BD455" s="92"/>
      <c r="BE455" s="989"/>
      <c r="BF455" s="92"/>
      <c r="BG455" s="92"/>
      <c r="BH455" s="464"/>
      <c r="BI455" s="92"/>
      <c r="BJ455" s="989"/>
      <c r="BK455" s="92"/>
      <c r="BL455" s="92"/>
      <c r="BM455" s="92"/>
      <c r="BN455" s="92"/>
      <c r="BO455" s="989"/>
      <c r="BP455" s="989"/>
      <c r="BQ455" s="989"/>
      <c r="BR455" s="989"/>
      <c r="BS455" s="305"/>
    </row>
    <row r="456" spans="1:71" s="300" customFormat="1" ht="15" hidden="1" outlineLevel="2">
      <c r="A456" s="304" t="s">
        <v>472</v>
      </c>
      <c r="B456" s="233"/>
      <c r="C456" s="989"/>
      <c r="D456" s="989"/>
      <c r="E456" s="989"/>
      <c r="F456" s="988">
        <v>431</v>
      </c>
      <c r="G456" s="988">
        <v>451</v>
      </c>
      <c r="H456" s="897">
        <v>108</v>
      </c>
      <c r="I456" s="897">
        <v>105</v>
      </c>
      <c r="J456" s="897">
        <v>103</v>
      </c>
      <c r="K456" s="897">
        <v>118</v>
      </c>
      <c r="L456" s="993">
        <f>SUM(H456,I456,J456,K456)</f>
        <v>434</v>
      </c>
      <c r="M456" s="897">
        <v>105</v>
      </c>
      <c r="N456" s="897">
        <v>105</v>
      </c>
      <c r="O456" s="897">
        <v>109</v>
      </c>
      <c r="P456" s="897">
        <v>101</v>
      </c>
      <c r="Q456" s="993">
        <f>SUM(M456,N456,O456,P456)</f>
        <v>420</v>
      </c>
      <c r="R456" s="897">
        <v>103</v>
      </c>
      <c r="S456" s="897">
        <v>106</v>
      </c>
      <c r="T456" s="897">
        <v>113</v>
      </c>
      <c r="U456" s="897">
        <v>117</v>
      </c>
      <c r="V456" s="993">
        <f>SUM(R456,S456,T456,U456)</f>
        <v>439</v>
      </c>
      <c r="W456" s="897">
        <v>138</v>
      </c>
      <c r="X456" s="897">
        <v>148</v>
      </c>
      <c r="Y456" s="897">
        <v>158</v>
      </c>
      <c r="Z456" s="897">
        <v>158</v>
      </c>
      <c r="AA456" s="993">
        <f>SUM(W456,X456,Y456,Z456)</f>
        <v>602</v>
      </c>
      <c r="AB456" s="897">
        <v>140</v>
      </c>
      <c r="AC456" s="897">
        <v>145</v>
      </c>
      <c r="AD456" s="897">
        <v>157</v>
      </c>
      <c r="AE456" s="897">
        <v>161</v>
      </c>
      <c r="AF456" s="993">
        <f>SUM(AB456,AC456,AD456,AE456)</f>
        <v>603</v>
      </c>
      <c r="AG456" s="897">
        <v>143</v>
      </c>
      <c r="AH456" s="897">
        <v>146</v>
      </c>
      <c r="AI456" s="897">
        <v>156</v>
      </c>
      <c r="AJ456" s="897">
        <v>159</v>
      </c>
      <c r="AK456" s="993">
        <f>SUM(AG456,AH456,AI456,AJ456)</f>
        <v>604</v>
      </c>
      <c r="AL456" s="897">
        <v>147</v>
      </c>
      <c r="AM456" s="897">
        <v>154</v>
      </c>
      <c r="AN456" s="897">
        <v>171</v>
      </c>
      <c r="AO456" s="897">
        <v>167</v>
      </c>
      <c r="AP456" s="988">
        <v>639</v>
      </c>
      <c r="AQ456" s="92"/>
      <c r="AR456" s="92"/>
      <c r="AS456" s="92"/>
      <c r="AT456" s="92"/>
      <c r="AU456" s="989"/>
      <c r="AV456" s="92"/>
      <c r="AW456" s="92"/>
      <c r="AX456" s="92"/>
      <c r="AY456" s="92"/>
      <c r="AZ456" s="989"/>
      <c r="BA456" s="92"/>
      <c r="BB456" s="92"/>
      <c r="BC456" s="92"/>
      <c r="BD456" s="92"/>
      <c r="BE456" s="989"/>
      <c r="BF456" s="92"/>
      <c r="BG456" s="92"/>
      <c r="BH456" s="464"/>
      <c r="BI456" s="92"/>
      <c r="BJ456" s="989"/>
      <c r="BK456" s="92"/>
      <c r="BL456" s="92"/>
      <c r="BM456" s="92"/>
      <c r="BN456" s="92"/>
      <c r="BO456" s="989"/>
      <c r="BP456" s="989"/>
      <c r="BQ456" s="989"/>
      <c r="BR456" s="989"/>
      <c r="BS456" s="305"/>
    </row>
    <row r="457" spans="1:71" s="300" customFormat="1" ht="15" hidden="1" outlineLevel="2">
      <c r="A457" s="304" t="s">
        <v>473</v>
      </c>
      <c r="B457" s="233"/>
      <c r="C457" s="989"/>
      <c r="D457" s="989"/>
      <c r="E457" s="989"/>
      <c r="F457" s="988">
        <v>132</v>
      </c>
      <c r="G457" s="988">
        <v>138</v>
      </c>
      <c r="H457" s="897">
        <v>34</v>
      </c>
      <c r="I457" s="897">
        <v>35</v>
      </c>
      <c r="J457" s="897">
        <v>38</v>
      </c>
      <c r="K457" s="897">
        <v>41</v>
      </c>
      <c r="L457" s="993">
        <f>SUM(H457,I457,J457,K457)</f>
        <v>148</v>
      </c>
      <c r="M457" s="897">
        <v>38</v>
      </c>
      <c r="N457" s="897">
        <v>40</v>
      </c>
      <c r="O457" s="897">
        <v>36</v>
      </c>
      <c r="P457" s="897">
        <v>36</v>
      </c>
      <c r="Q457" s="993">
        <f>SUM(M457,N457,O457,P457)</f>
        <v>150</v>
      </c>
      <c r="R457" s="897">
        <v>38</v>
      </c>
      <c r="S457" s="897">
        <v>35</v>
      </c>
      <c r="T457" s="897">
        <v>34</v>
      </c>
      <c r="U457" s="897">
        <v>34</v>
      </c>
      <c r="V457" s="993">
        <f>SUM(R457,S457,T457,U457)</f>
        <v>141</v>
      </c>
      <c r="W457" s="897">
        <v>36</v>
      </c>
      <c r="X457" s="897">
        <v>37</v>
      </c>
      <c r="Y457" s="897">
        <v>38</v>
      </c>
      <c r="Z457" s="897">
        <v>37</v>
      </c>
      <c r="AA457" s="993">
        <f>SUM(W457,X457,Y457,Z457)</f>
        <v>148</v>
      </c>
      <c r="AB457" s="897">
        <v>37</v>
      </c>
      <c r="AC457" s="897">
        <v>36</v>
      </c>
      <c r="AD457" s="897">
        <v>36</v>
      </c>
      <c r="AE457" s="897">
        <v>37</v>
      </c>
      <c r="AF457" s="993">
        <f>SUM(AB457,AC457,AD457,AE457)</f>
        <v>146</v>
      </c>
      <c r="AG457" s="897">
        <v>38</v>
      </c>
      <c r="AH457" s="897">
        <v>39</v>
      </c>
      <c r="AI457" s="897">
        <v>39</v>
      </c>
      <c r="AJ457" s="897">
        <v>41</v>
      </c>
      <c r="AK457" s="993">
        <f>SUM(AG457,AH457,AI457,AJ457)</f>
        <v>157</v>
      </c>
      <c r="AL457" s="897">
        <v>43</v>
      </c>
      <c r="AM457" s="897">
        <v>47</v>
      </c>
      <c r="AN457" s="897">
        <v>45</v>
      </c>
      <c r="AO457" s="897">
        <v>41</v>
      </c>
      <c r="AP457" s="988">
        <v>176</v>
      </c>
      <c r="AQ457" s="92"/>
      <c r="AR457" s="92"/>
      <c r="AS457" s="92"/>
      <c r="AT457" s="92"/>
      <c r="AU457" s="989"/>
      <c r="AV457" s="92"/>
      <c r="AW457" s="92"/>
      <c r="AX457" s="92"/>
      <c r="AY457" s="92"/>
      <c r="AZ457" s="989"/>
      <c r="BA457" s="92"/>
      <c r="BB457" s="92"/>
      <c r="BC457" s="92"/>
      <c r="BD457" s="92"/>
      <c r="BE457" s="989"/>
      <c r="BF457" s="92"/>
      <c r="BG457" s="92"/>
      <c r="BH457" s="464"/>
      <c r="BI457" s="92"/>
      <c r="BJ457" s="989"/>
      <c r="BK457" s="92"/>
      <c r="BL457" s="92"/>
      <c r="BM457" s="92"/>
      <c r="BN457" s="92"/>
      <c r="BO457" s="989"/>
      <c r="BP457" s="989"/>
      <c r="BQ457" s="989"/>
      <c r="BR457" s="989"/>
      <c r="BS457" s="305"/>
    </row>
    <row r="458" spans="1:71" s="300" customFormat="1" ht="15" hidden="1" outlineLevel="2">
      <c r="A458" s="110" t="s">
        <v>487</v>
      </c>
      <c r="B458" s="113"/>
      <c r="C458" s="995"/>
      <c r="D458" s="995"/>
      <c r="E458" s="995"/>
      <c r="F458" s="990">
        <v>153</v>
      </c>
      <c r="G458" s="990">
        <v>206</v>
      </c>
      <c r="H458" s="900">
        <v>62</v>
      </c>
      <c r="I458" s="900">
        <v>52</v>
      </c>
      <c r="J458" s="900">
        <v>63</v>
      </c>
      <c r="K458" s="900">
        <v>63</v>
      </c>
      <c r="L458" s="998">
        <f>SUM(H458,I458,J458,K458)</f>
        <v>240</v>
      </c>
      <c r="M458" s="900">
        <v>69</v>
      </c>
      <c r="N458" s="900">
        <v>63</v>
      </c>
      <c r="O458" s="900">
        <v>61</v>
      </c>
      <c r="P458" s="900">
        <v>72</v>
      </c>
      <c r="Q458" s="998">
        <f>SUM(M458,N458,O458,P458)</f>
        <v>265</v>
      </c>
      <c r="R458" s="900">
        <v>-12</v>
      </c>
      <c r="S458" s="900">
        <v>-13</v>
      </c>
      <c r="T458" s="900">
        <v>-17</v>
      </c>
      <c r="U458" s="900">
        <v>-11</v>
      </c>
      <c r="V458" s="998">
        <f>SUM(R458,S458,T458,U458)</f>
        <v>-53</v>
      </c>
      <c r="W458" s="900">
        <v>28</v>
      </c>
      <c r="X458" s="900">
        <v>34</v>
      </c>
      <c r="Y458" s="900">
        <v>30</v>
      </c>
      <c r="Z458" s="900">
        <v>25</v>
      </c>
      <c r="AA458" s="998">
        <f>SUM(W458,X458,Y458,Z458)</f>
        <v>117</v>
      </c>
      <c r="AB458" s="900">
        <v>33</v>
      </c>
      <c r="AC458" s="900">
        <v>25</v>
      </c>
      <c r="AD458" s="900">
        <v>32</v>
      </c>
      <c r="AE458" s="900">
        <v>29</v>
      </c>
      <c r="AF458" s="998">
        <f>SUM(AB458,AC458,AD458,AE458)</f>
        <v>119</v>
      </c>
      <c r="AG458" s="900">
        <v>27</v>
      </c>
      <c r="AH458" s="900">
        <v>28</v>
      </c>
      <c r="AI458" s="900">
        <v>30</v>
      </c>
      <c r="AJ458" s="900">
        <v>12</v>
      </c>
      <c r="AK458" s="998">
        <f>SUM(AG458,AH458,AI458,AJ458)</f>
        <v>97</v>
      </c>
      <c r="AL458" s="900">
        <v>26</v>
      </c>
      <c r="AM458" s="900">
        <v>29</v>
      </c>
      <c r="AN458" s="900">
        <v>28</v>
      </c>
      <c r="AO458" s="900">
        <v>28</v>
      </c>
      <c r="AP458" s="990">
        <v>111</v>
      </c>
      <c r="AQ458" s="115"/>
      <c r="AR458" s="115"/>
      <c r="AS458" s="115"/>
      <c r="AT458" s="115"/>
      <c r="AU458" s="995"/>
      <c r="AV458" s="115"/>
      <c r="AW458" s="115"/>
      <c r="AX458" s="115"/>
      <c r="AY458" s="115"/>
      <c r="AZ458" s="995"/>
      <c r="BA458" s="115"/>
      <c r="BB458" s="115"/>
      <c r="BC458" s="115"/>
      <c r="BD458" s="115"/>
      <c r="BE458" s="995"/>
      <c r="BF458" s="115"/>
      <c r="BG458" s="115"/>
      <c r="BH458" s="641"/>
      <c r="BI458" s="115"/>
      <c r="BJ458" s="995"/>
      <c r="BK458" s="115"/>
      <c r="BL458" s="115"/>
      <c r="BM458" s="115"/>
      <c r="BN458" s="115"/>
      <c r="BO458" s="995"/>
      <c r="BP458" s="995"/>
      <c r="BQ458" s="995"/>
      <c r="BR458" s="995"/>
      <c r="BS458" s="305"/>
    </row>
    <row r="459" spans="1:71" s="51" customFormat="1" ht="15" hidden="1" outlineLevel="2">
      <c r="A459" s="109" t="s">
        <v>474</v>
      </c>
      <c r="B459" s="391"/>
      <c r="C459" s="1000"/>
      <c r="D459" s="1000"/>
      <c r="E459" s="1000"/>
      <c r="F459" s="999">
        <f t="shared" si="1354" ref="F459">SUM(F454:F458)</f>
        <v>6294</v>
      </c>
      <c r="G459" s="999">
        <f t="shared" si="1355" ref="G459">SUM(G454:G458)</f>
        <v>6630</v>
      </c>
      <c r="H459" s="57">
        <f t="shared" si="1356" ref="H459">SUM(H454:H458)</f>
        <v>1664</v>
      </c>
      <c r="I459" s="57">
        <f t="shared" si="1357" ref="I459">SUM(I454:I458)</f>
        <v>1640</v>
      </c>
      <c r="J459" s="57">
        <f t="shared" si="1358" ref="J459">SUM(J454:J458)</f>
        <v>1674</v>
      </c>
      <c r="K459" s="57">
        <f t="shared" si="1359" ref="K459">SUM(K454:K458)</f>
        <v>1761</v>
      </c>
      <c r="L459" s="999">
        <f t="shared" si="1360" ref="L459">SUM(L454:L458)</f>
        <v>6739</v>
      </c>
      <c r="M459" s="57">
        <f t="shared" si="1361" ref="M459">SUM(M454:M458)</f>
        <v>1714</v>
      </c>
      <c r="N459" s="57">
        <f t="shared" si="1362" ref="N459">SUM(N454:N458)</f>
        <v>1735</v>
      </c>
      <c r="O459" s="57">
        <f t="shared" si="1363" ref="O459">SUM(O454:O458)</f>
        <v>1677</v>
      </c>
      <c r="P459" s="57">
        <f t="shared" si="1364" ref="P459:Q459">SUM(P454:P458)</f>
        <v>1658</v>
      </c>
      <c r="Q459" s="999">
        <f t="shared" si="1364"/>
        <v>6784</v>
      </c>
      <c r="R459" s="57">
        <f t="shared" si="1365" ref="R459">SUM(R454:R458)</f>
        <v>1609</v>
      </c>
      <c r="S459" s="57">
        <f t="shared" si="1366" ref="S459">SUM(S454:S458)</f>
        <v>1675</v>
      </c>
      <c r="T459" s="57">
        <f t="shared" si="1367" ref="T459">SUM(T454:T458)</f>
        <v>1654</v>
      </c>
      <c r="U459" s="57">
        <f t="shared" si="1368" ref="U459">SUM(U454:U458)</f>
        <v>1720</v>
      </c>
      <c r="V459" s="999">
        <f t="shared" si="1369" ref="V459">SUM(V454:V458)</f>
        <v>6658</v>
      </c>
      <c r="W459" s="57">
        <f t="shared" si="1370" ref="W459">SUM(W454:W458)</f>
        <v>1815</v>
      </c>
      <c r="X459" s="57">
        <f t="shared" si="1371" ref="X459">SUM(X454:X458)</f>
        <v>1882</v>
      </c>
      <c r="Y459" s="57">
        <f t="shared" si="1372" ref="Y459">SUM(Y454:Y458)</f>
        <v>1924</v>
      </c>
      <c r="Z459" s="57">
        <f t="shared" si="1373" ref="Z459">SUM(Z454:Z458)</f>
        <v>2016</v>
      </c>
      <c r="AA459" s="999">
        <f t="shared" si="1374" ref="AA459">SUM(AA454:AA458)</f>
        <v>7637</v>
      </c>
      <c r="AB459" s="57">
        <f t="shared" si="1375" ref="AB459">SUM(AB454:AB458)</f>
        <v>1916</v>
      </c>
      <c r="AC459" s="57">
        <f t="shared" si="1376" ref="AC459">SUM(AC454:AC458)</f>
        <v>1992</v>
      </c>
      <c r="AD459" s="57">
        <f t="shared" si="1377" ref="AD459">SUM(AD454:AD458)</f>
        <v>2043</v>
      </c>
      <c r="AE459" s="57">
        <f t="shared" si="1378" ref="AE459">SUM(AE454:AE458)</f>
        <v>2095</v>
      </c>
      <c r="AF459" s="999">
        <f t="shared" si="1379" ref="AF459:AK459">SUM(AF454:AF458)</f>
        <v>8046</v>
      </c>
      <c r="AG459" s="57">
        <f t="shared" si="1379"/>
        <v>2015</v>
      </c>
      <c r="AH459" s="57">
        <f t="shared" si="1379"/>
        <v>2003</v>
      </c>
      <c r="AI459" s="57">
        <f t="shared" si="1379"/>
        <v>2047</v>
      </c>
      <c r="AJ459" s="57">
        <f t="shared" si="1379"/>
        <v>2127</v>
      </c>
      <c r="AK459" s="999">
        <f t="shared" si="1379"/>
        <v>8192</v>
      </c>
      <c r="AL459" s="57">
        <f>SUM(AL454:AL458)</f>
        <v>2212</v>
      </c>
      <c r="AM459" s="57">
        <f>SUM(AM454:AM458)</f>
        <v>2714</v>
      </c>
      <c r="AN459" s="57">
        <f>SUM(AN454:AN458)</f>
        <v>2324</v>
      </c>
      <c r="AO459" s="57">
        <f t="shared" si="1380" ref="AO459:AP459">SUM(AO454:AO458)</f>
        <v>2283</v>
      </c>
      <c r="AP459" s="999">
        <f t="shared" si="1380"/>
        <v>9859</v>
      </c>
      <c r="AQ459" s="128"/>
      <c r="AR459" s="128"/>
      <c r="AS459" s="128"/>
      <c r="AT459" s="128"/>
      <c r="AU459" s="1000"/>
      <c r="AV459" s="128"/>
      <c r="AW459" s="128"/>
      <c r="AX459" s="128"/>
      <c r="AY459" s="128"/>
      <c r="AZ459" s="1000"/>
      <c r="BA459" s="128"/>
      <c r="BB459" s="128"/>
      <c r="BC459" s="128"/>
      <c r="BD459" s="128"/>
      <c r="BE459" s="1000"/>
      <c r="BF459" s="128"/>
      <c r="BG459" s="128"/>
      <c r="BH459" s="465"/>
      <c r="BI459" s="128"/>
      <c r="BJ459" s="1000"/>
      <c r="BK459" s="128"/>
      <c r="BL459" s="128"/>
      <c r="BM459" s="128"/>
      <c r="BN459" s="128"/>
      <c r="BO459" s="1000"/>
      <c r="BP459" s="1000"/>
      <c r="BQ459" s="1000"/>
      <c r="BR459" s="1000"/>
      <c r="BS459" s="57"/>
    </row>
    <row r="460" spans="1:71" s="300" customFormat="1" ht="15" hidden="1" outlineLevel="2">
      <c r="A460" s="304" t="s">
        <v>475</v>
      </c>
      <c r="B460" s="233"/>
      <c r="C460" s="989"/>
      <c r="D460" s="989"/>
      <c r="E460" s="989"/>
      <c r="F460" s="993">
        <f t="shared" si="1381" ref="F460:Z460">F436+F442-F448-F454</f>
        <v>708</v>
      </c>
      <c r="G460" s="993">
        <f t="shared" si="1381"/>
        <v>909</v>
      </c>
      <c r="H460" s="305">
        <f t="shared" si="1381"/>
        <v>276</v>
      </c>
      <c r="I460" s="305">
        <f t="shared" si="1381"/>
        <v>197</v>
      </c>
      <c r="J460" s="305">
        <f t="shared" si="1381"/>
        <v>300</v>
      </c>
      <c r="K460" s="305">
        <f t="shared" si="1381"/>
        <v>133</v>
      </c>
      <c r="L460" s="993">
        <f t="shared" si="1381"/>
        <v>906</v>
      </c>
      <c r="M460" s="305">
        <f t="shared" si="1381"/>
        <v>144</v>
      </c>
      <c r="N460" s="305">
        <f t="shared" si="1381"/>
        <v>-62</v>
      </c>
      <c r="O460" s="305">
        <f t="shared" si="1381"/>
        <v>56</v>
      </c>
      <c r="P460" s="305">
        <f t="shared" si="1381"/>
        <v>66</v>
      </c>
      <c r="Q460" s="993">
        <f t="shared" si="1381"/>
        <v>204</v>
      </c>
      <c r="R460" s="305">
        <f t="shared" si="1381"/>
        <v>45</v>
      </c>
      <c r="S460" s="305">
        <f t="shared" si="1381"/>
        <v>-63</v>
      </c>
      <c r="T460" s="305">
        <f t="shared" si="1381"/>
        <v>43</v>
      </c>
      <c r="U460" s="305">
        <f t="shared" si="1381"/>
        <v>225</v>
      </c>
      <c r="V460" s="993">
        <f t="shared" si="1381"/>
        <v>250</v>
      </c>
      <c r="W460" s="305">
        <f t="shared" si="1381"/>
        <v>452</v>
      </c>
      <c r="X460" s="305">
        <f t="shared" si="1381"/>
        <v>214</v>
      </c>
      <c r="Y460" s="305">
        <f t="shared" si="1381"/>
        <v>261</v>
      </c>
      <c r="Z460" s="305">
        <f t="shared" si="1381"/>
        <v>404</v>
      </c>
      <c r="AA460" s="993">
        <f t="shared" si="1382" ref="AA460:AL460">AA436+AA442-AA448-AA454</f>
        <v>1331</v>
      </c>
      <c r="AB460" s="305">
        <f t="shared" si="1382"/>
        <v>611</v>
      </c>
      <c r="AC460" s="305">
        <f t="shared" si="1382"/>
        <v>385</v>
      </c>
      <c r="AD460" s="305">
        <f t="shared" si="1382"/>
        <v>391</v>
      </c>
      <c r="AE460" s="305">
        <f t="shared" si="1382"/>
        <v>401</v>
      </c>
      <c r="AF460" s="993">
        <f t="shared" si="1382"/>
        <v>1788</v>
      </c>
      <c r="AG460" s="305">
        <f t="shared" si="1382"/>
        <v>512</v>
      </c>
      <c r="AH460" s="305">
        <f t="shared" si="1382"/>
        <v>387</v>
      </c>
      <c r="AI460" s="305">
        <f t="shared" si="1382"/>
        <v>429</v>
      </c>
      <c r="AJ460" s="305">
        <f t="shared" si="1382"/>
        <v>399</v>
      </c>
      <c r="AK460" s="993">
        <f t="shared" si="1382"/>
        <v>1727</v>
      </c>
      <c r="AL460" s="305">
        <f t="shared" si="1382"/>
        <v>652</v>
      </c>
      <c r="AM460" s="305">
        <f t="shared" si="1383" ref="AM460:AP464">AM436+AM442-AM448-AM454</f>
        <v>894</v>
      </c>
      <c r="AN460" s="305">
        <f t="shared" si="1383"/>
        <v>897</v>
      </c>
      <c r="AO460" s="305">
        <f t="shared" si="1383"/>
        <v>882</v>
      </c>
      <c r="AP460" s="993">
        <f t="shared" si="1383"/>
        <v>3404</v>
      </c>
      <c r="AQ460" s="92"/>
      <c r="AR460" s="92"/>
      <c r="AS460" s="92"/>
      <c r="AT460" s="92"/>
      <c r="AU460" s="989"/>
      <c r="AV460" s="92"/>
      <c r="AW460" s="92"/>
      <c r="AX460" s="92"/>
      <c r="AY460" s="92"/>
      <c r="AZ460" s="989"/>
      <c r="BA460" s="92"/>
      <c r="BB460" s="92"/>
      <c r="BC460" s="92"/>
      <c r="BD460" s="92"/>
      <c r="BE460" s="989"/>
      <c r="BF460" s="92"/>
      <c r="BG460" s="92"/>
      <c r="BH460" s="464"/>
      <c r="BI460" s="92"/>
      <c r="BJ460" s="989"/>
      <c r="BK460" s="92"/>
      <c r="BL460" s="92"/>
      <c r="BM460" s="92"/>
      <c r="BN460" s="92"/>
      <c r="BO460" s="989"/>
      <c r="BP460" s="989"/>
      <c r="BQ460" s="989"/>
      <c r="BR460" s="989"/>
      <c r="BS460" s="305"/>
    </row>
    <row r="461" spans="1:71" s="300" customFormat="1" ht="15" hidden="1" outlineLevel="2">
      <c r="A461" s="304" t="s">
        <v>476</v>
      </c>
      <c r="B461" s="233"/>
      <c r="C461" s="989"/>
      <c r="D461" s="989"/>
      <c r="E461" s="989"/>
      <c r="F461" s="993">
        <f t="shared" si="1384" ref="F461:Z461">F437+F443-F449-F455</f>
        <v>718</v>
      </c>
      <c r="G461" s="993">
        <f t="shared" si="1384"/>
        <v>1368</v>
      </c>
      <c r="H461" s="305">
        <f t="shared" si="1384"/>
        <v>201</v>
      </c>
      <c r="I461" s="305">
        <f t="shared" si="1384"/>
        <v>23</v>
      </c>
      <c r="J461" s="305">
        <f t="shared" si="1384"/>
        <v>304</v>
      </c>
      <c r="K461" s="305">
        <f t="shared" si="1384"/>
        <v>592</v>
      </c>
      <c r="L461" s="993">
        <f t="shared" si="1384"/>
        <v>1120</v>
      </c>
      <c r="M461" s="305">
        <f t="shared" si="1384"/>
        <v>348</v>
      </c>
      <c r="N461" s="305">
        <f t="shared" si="1384"/>
        <v>126</v>
      </c>
      <c r="O461" s="305">
        <f t="shared" si="1384"/>
        <v>458</v>
      </c>
      <c r="P461" s="305">
        <f t="shared" si="1384"/>
        <v>486</v>
      </c>
      <c r="Q461" s="993">
        <f t="shared" si="1384"/>
        <v>1418</v>
      </c>
      <c r="R461" s="305">
        <f t="shared" si="1384"/>
        <v>111</v>
      </c>
      <c r="S461" s="305">
        <f t="shared" si="1384"/>
        <v>51</v>
      </c>
      <c r="T461" s="305">
        <f t="shared" si="1384"/>
        <v>406</v>
      </c>
      <c r="U461" s="305">
        <f t="shared" si="1384"/>
        <v>530</v>
      </c>
      <c r="V461" s="993">
        <f t="shared" si="1384"/>
        <v>1098</v>
      </c>
      <c r="W461" s="305">
        <f t="shared" si="1384"/>
        <v>107</v>
      </c>
      <c r="X461" s="305">
        <f t="shared" si="1384"/>
        <v>47</v>
      </c>
      <c r="Y461" s="305">
        <f t="shared" si="1384"/>
        <v>319</v>
      </c>
      <c r="Z461" s="305">
        <f t="shared" si="1384"/>
        <v>252</v>
      </c>
      <c r="AA461" s="993">
        <f t="shared" si="1385" ref="AA461:AL461">AA437+AA443-AA449-AA455</f>
        <v>725</v>
      </c>
      <c r="AB461" s="305">
        <f t="shared" si="1385"/>
        <v>337</v>
      </c>
      <c r="AC461" s="305">
        <f t="shared" si="1385"/>
        <v>37</v>
      </c>
      <c r="AD461" s="305">
        <f t="shared" si="1385"/>
        <v>217</v>
      </c>
      <c r="AE461" s="305">
        <f t="shared" si="1385"/>
        <v>-95</v>
      </c>
      <c r="AF461" s="993">
        <f t="shared" si="1385"/>
        <v>496</v>
      </c>
      <c r="AG461" s="305">
        <f t="shared" si="1385"/>
        <v>142</v>
      </c>
      <c r="AH461" s="305">
        <f t="shared" si="1385"/>
        <v>-79</v>
      </c>
      <c r="AI461" s="305">
        <f t="shared" si="1385"/>
        <v>361</v>
      </c>
      <c r="AJ461" s="305">
        <f t="shared" si="1385"/>
        <v>486</v>
      </c>
      <c r="AK461" s="993">
        <f t="shared" si="1385"/>
        <v>910</v>
      </c>
      <c r="AL461" s="305">
        <f t="shared" si="1385"/>
        <v>555</v>
      </c>
      <c r="AM461" s="305">
        <f t="shared" si="1383"/>
        <v>-118</v>
      </c>
      <c r="AN461" s="305">
        <f t="shared" si="1383"/>
        <v>-93</v>
      </c>
      <c r="AO461" s="305">
        <f t="shared" si="1383"/>
        <v>442</v>
      </c>
      <c r="AP461" s="993">
        <f t="shared" si="1383"/>
        <v>798</v>
      </c>
      <c r="AQ461" s="92"/>
      <c r="AR461" s="92"/>
      <c r="AS461" s="92"/>
      <c r="AT461" s="92"/>
      <c r="AU461" s="989"/>
      <c r="AV461" s="92"/>
      <c r="AW461" s="92"/>
      <c r="AX461" s="92"/>
      <c r="AY461" s="92"/>
      <c r="AZ461" s="989"/>
      <c r="BA461" s="92"/>
      <c r="BB461" s="92"/>
      <c r="BC461" s="92"/>
      <c r="BD461" s="92"/>
      <c r="BE461" s="989"/>
      <c r="BF461" s="92"/>
      <c r="BG461" s="92"/>
      <c r="BH461" s="464"/>
      <c r="BI461" s="92"/>
      <c r="BJ461" s="989"/>
      <c r="BK461" s="92"/>
      <c r="BL461" s="92"/>
      <c r="BM461" s="92"/>
      <c r="BN461" s="92"/>
      <c r="BO461" s="989"/>
      <c r="BP461" s="989"/>
      <c r="BQ461" s="989"/>
      <c r="BR461" s="989"/>
      <c r="BS461" s="305"/>
    </row>
    <row r="462" spans="1:71" s="300" customFormat="1" ht="15" hidden="1" outlineLevel="2">
      <c r="A462" s="304" t="s">
        <v>477</v>
      </c>
      <c r="B462" s="233"/>
      <c r="C462" s="989"/>
      <c r="D462" s="989"/>
      <c r="E462" s="989"/>
      <c r="F462" s="993">
        <f t="shared" si="1386" ref="F462:Z462">F438+F444-F450-F456</f>
        <v>-15</v>
      </c>
      <c r="G462" s="993">
        <f t="shared" si="1386"/>
        <v>182</v>
      </c>
      <c r="H462" s="305">
        <f t="shared" si="1386"/>
        <v>-2</v>
      </c>
      <c r="I462" s="305">
        <f t="shared" si="1386"/>
        <v>56</v>
      </c>
      <c r="J462" s="305">
        <f t="shared" si="1386"/>
        <v>57</v>
      </c>
      <c r="K462" s="305">
        <f t="shared" si="1386"/>
        <v>49</v>
      </c>
      <c r="L462" s="993">
        <f t="shared" si="1386"/>
        <v>160</v>
      </c>
      <c r="M462" s="305">
        <f t="shared" si="1386"/>
        <v>42</v>
      </c>
      <c r="N462" s="305">
        <f t="shared" si="1386"/>
        <v>31</v>
      </c>
      <c r="O462" s="305">
        <f t="shared" si="1386"/>
        <v>46</v>
      </c>
      <c r="P462" s="305">
        <f t="shared" si="1386"/>
        <v>78</v>
      </c>
      <c r="Q462" s="993">
        <f t="shared" si="1386"/>
        <v>197</v>
      </c>
      <c r="R462" s="305">
        <f t="shared" si="1386"/>
        <v>29</v>
      </c>
      <c r="S462" s="305">
        <f t="shared" si="1386"/>
        <v>35</v>
      </c>
      <c r="T462" s="305">
        <f t="shared" si="1386"/>
        <v>50</v>
      </c>
      <c r="U462" s="305">
        <f t="shared" si="1386"/>
        <v>52</v>
      </c>
      <c r="V462" s="993">
        <f t="shared" si="1386"/>
        <v>166</v>
      </c>
      <c r="W462" s="305">
        <f t="shared" si="1386"/>
        <v>28</v>
      </c>
      <c r="X462" s="305">
        <f t="shared" si="1386"/>
        <v>38</v>
      </c>
      <c r="Y462" s="305">
        <f t="shared" si="1386"/>
        <v>-18</v>
      </c>
      <c r="Z462" s="305">
        <f t="shared" si="1386"/>
        <v>65</v>
      </c>
      <c r="AA462" s="993">
        <f t="shared" si="1387" ref="AA462:AL462">AA438+AA444-AA450-AA456</f>
        <v>113</v>
      </c>
      <c r="AB462" s="305">
        <f t="shared" si="1387"/>
        <v>51</v>
      </c>
      <c r="AC462" s="305">
        <f t="shared" si="1387"/>
        <v>61</v>
      </c>
      <c r="AD462" s="305">
        <f t="shared" si="1387"/>
        <v>6</v>
      </c>
      <c r="AE462" s="305">
        <f t="shared" si="1387"/>
        <v>-11</v>
      </c>
      <c r="AF462" s="993">
        <f t="shared" si="1387"/>
        <v>107</v>
      </c>
      <c r="AG462" s="305">
        <f t="shared" si="1387"/>
        <v>30</v>
      </c>
      <c r="AH462" s="305">
        <f t="shared" si="1387"/>
        <v>48</v>
      </c>
      <c r="AI462" s="305">
        <f t="shared" si="1387"/>
        <v>51</v>
      </c>
      <c r="AJ462" s="305">
        <f t="shared" si="1387"/>
        <v>96</v>
      </c>
      <c r="AK462" s="993">
        <f t="shared" si="1387"/>
        <v>225</v>
      </c>
      <c r="AL462" s="305">
        <f t="shared" si="1387"/>
        <v>88</v>
      </c>
      <c r="AM462" s="305">
        <f t="shared" si="1383"/>
        <v>48</v>
      </c>
      <c r="AN462" s="305">
        <f t="shared" si="1383"/>
        <v>34</v>
      </c>
      <c r="AO462" s="305">
        <f t="shared" si="1383"/>
        <v>85</v>
      </c>
      <c r="AP462" s="993">
        <f t="shared" si="1383"/>
        <v>255</v>
      </c>
      <c r="AQ462" s="92"/>
      <c r="AR462" s="92"/>
      <c r="AS462" s="92"/>
      <c r="AT462" s="92"/>
      <c r="AU462" s="989"/>
      <c r="AV462" s="92"/>
      <c r="AW462" s="92"/>
      <c r="AX462" s="92"/>
      <c r="AY462" s="92"/>
      <c r="AZ462" s="989"/>
      <c r="BA462" s="92"/>
      <c r="BB462" s="92"/>
      <c r="BC462" s="92"/>
      <c r="BD462" s="92"/>
      <c r="BE462" s="989"/>
      <c r="BF462" s="92"/>
      <c r="BG462" s="92"/>
      <c r="BH462" s="464"/>
      <c r="BI462" s="92"/>
      <c r="BJ462" s="989"/>
      <c r="BK462" s="92"/>
      <c r="BL462" s="92"/>
      <c r="BM462" s="92"/>
      <c r="BN462" s="92"/>
      <c r="BO462" s="989"/>
      <c r="BP462" s="989"/>
      <c r="BQ462" s="989"/>
      <c r="BR462" s="989"/>
      <c r="BS462" s="305"/>
    </row>
    <row r="463" spans="1:71" s="300" customFormat="1" ht="15" hidden="1" outlineLevel="2">
      <c r="A463" s="304" t="s">
        <v>478</v>
      </c>
      <c r="B463" s="233"/>
      <c r="C463" s="989"/>
      <c r="D463" s="989"/>
      <c r="E463" s="989"/>
      <c r="F463" s="993">
        <f t="shared" si="1388" ref="F463:Z463">F439+F445-F451-F457</f>
        <v>51</v>
      </c>
      <c r="G463" s="993">
        <f t="shared" si="1388"/>
        <v>41</v>
      </c>
      <c r="H463" s="305">
        <f t="shared" si="1388"/>
        <v>-5</v>
      </c>
      <c r="I463" s="305">
        <f t="shared" si="1388"/>
        <v>8</v>
      </c>
      <c r="J463" s="305">
        <f t="shared" si="1388"/>
        <v>10</v>
      </c>
      <c r="K463" s="305">
        <f t="shared" si="1388"/>
        <v>-4</v>
      </c>
      <c r="L463" s="993">
        <f t="shared" si="1388"/>
        <v>9</v>
      </c>
      <c r="M463" s="305">
        <f t="shared" si="1388"/>
        <v>-11</v>
      </c>
      <c r="N463" s="305">
        <f t="shared" si="1388"/>
        <v>-17</v>
      </c>
      <c r="O463" s="305">
        <f t="shared" si="1388"/>
        <v>-5</v>
      </c>
      <c r="P463" s="305">
        <f t="shared" si="1388"/>
        <v>-7</v>
      </c>
      <c r="Q463" s="993">
        <f t="shared" si="1388"/>
        <v>-40</v>
      </c>
      <c r="R463" s="305">
        <f t="shared" si="1388"/>
        <v>-28</v>
      </c>
      <c r="S463" s="305">
        <f t="shared" si="1388"/>
        <v>-43</v>
      </c>
      <c r="T463" s="305">
        <f t="shared" si="1388"/>
        <v>-19</v>
      </c>
      <c r="U463" s="305">
        <f t="shared" si="1388"/>
        <v>-20</v>
      </c>
      <c r="V463" s="993">
        <f t="shared" si="1388"/>
        <v>-110</v>
      </c>
      <c r="W463" s="305">
        <f t="shared" si="1388"/>
        <v>-4</v>
      </c>
      <c r="X463" s="305">
        <f t="shared" si="1388"/>
        <v>-2</v>
      </c>
      <c r="Y463" s="305">
        <f t="shared" si="1388"/>
        <v>-15</v>
      </c>
      <c r="Z463" s="305">
        <f t="shared" si="1388"/>
        <v>2</v>
      </c>
      <c r="AA463" s="993">
        <f t="shared" si="1389" ref="AA463:AL463">AA439+AA445-AA451-AA457</f>
        <v>-19</v>
      </c>
      <c r="AB463" s="305">
        <f t="shared" si="1389"/>
        <v>-6</v>
      </c>
      <c r="AC463" s="305">
        <f t="shared" si="1389"/>
        <v>-36</v>
      </c>
      <c r="AD463" s="305">
        <f t="shared" si="1389"/>
        <v>-42</v>
      </c>
      <c r="AE463" s="305">
        <f t="shared" si="1389"/>
        <v>1</v>
      </c>
      <c r="AF463" s="993">
        <f t="shared" si="1389"/>
        <v>-83</v>
      </c>
      <c r="AG463" s="305">
        <f t="shared" si="1389"/>
        <v>7</v>
      </c>
      <c r="AH463" s="305">
        <f t="shared" si="1389"/>
        <v>-7</v>
      </c>
      <c r="AI463" s="305">
        <f t="shared" si="1389"/>
        <v>1</v>
      </c>
      <c r="AJ463" s="305">
        <f t="shared" si="1389"/>
        <v>13</v>
      </c>
      <c r="AK463" s="993">
        <f t="shared" si="1389"/>
        <v>14</v>
      </c>
      <c r="AL463" s="305">
        <f t="shared" si="1389"/>
        <v>5</v>
      </c>
      <c r="AM463" s="305">
        <f t="shared" si="1383"/>
        <v>-11</v>
      </c>
      <c r="AN463" s="305">
        <f t="shared" si="1383"/>
        <v>-14</v>
      </c>
      <c r="AO463" s="305">
        <f t="shared" si="1383"/>
        <v>-16</v>
      </c>
      <c r="AP463" s="993">
        <f t="shared" si="1383"/>
        <v>-36</v>
      </c>
      <c r="AQ463" s="92"/>
      <c r="AR463" s="92"/>
      <c r="AS463" s="92"/>
      <c r="AT463" s="92"/>
      <c r="AU463" s="989"/>
      <c r="AV463" s="92"/>
      <c r="AW463" s="92"/>
      <c r="AX463" s="92"/>
      <c r="AY463" s="92"/>
      <c r="AZ463" s="989"/>
      <c r="BA463" s="92"/>
      <c r="BB463" s="92"/>
      <c r="BC463" s="92"/>
      <c r="BD463" s="92"/>
      <c r="BE463" s="989"/>
      <c r="BF463" s="92"/>
      <c r="BG463" s="92"/>
      <c r="BH463" s="464"/>
      <c r="BI463" s="92"/>
      <c r="BJ463" s="989"/>
      <c r="BK463" s="92"/>
      <c r="BL463" s="92"/>
      <c r="BM463" s="92"/>
      <c r="BN463" s="92"/>
      <c r="BO463" s="989"/>
      <c r="BP463" s="989"/>
      <c r="BQ463" s="989"/>
      <c r="BR463" s="989"/>
      <c r="BS463" s="305"/>
    </row>
    <row r="464" spans="1:71" s="300" customFormat="1" ht="15" hidden="1" outlineLevel="2">
      <c r="A464" s="110" t="s">
        <v>488</v>
      </c>
      <c r="B464" s="113"/>
      <c r="C464" s="995"/>
      <c r="D464" s="995"/>
      <c r="E464" s="995"/>
      <c r="F464" s="998">
        <f t="shared" si="1390" ref="F464:L464">F440+F446-F452-F458</f>
        <v>77</v>
      </c>
      <c r="G464" s="998">
        <f t="shared" si="1390"/>
        <v>51</v>
      </c>
      <c r="H464" s="58">
        <f t="shared" si="1390"/>
        <v>8</v>
      </c>
      <c r="I464" s="58">
        <f t="shared" si="1390"/>
        <v>15</v>
      </c>
      <c r="J464" s="58">
        <f t="shared" si="1390"/>
        <v>5</v>
      </c>
      <c r="K464" s="58">
        <f t="shared" si="1390"/>
        <v>12</v>
      </c>
      <c r="L464" s="998">
        <f t="shared" si="1390"/>
        <v>40</v>
      </c>
      <c r="M464" s="58">
        <f>M440+M446-M452-M458</f>
        <v>3</v>
      </c>
      <c r="N464" s="58">
        <f t="shared" si="1391" ref="N464:AL464">N440+N446-N452-N458</f>
        <v>8</v>
      </c>
      <c r="O464" s="58">
        <f t="shared" si="1391"/>
        <v>16</v>
      </c>
      <c r="P464" s="58">
        <f t="shared" si="1391"/>
        <v>6</v>
      </c>
      <c r="Q464" s="998">
        <f t="shared" si="1391"/>
        <v>33</v>
      </c>
      <c r="R464" s="58">
        <f t="shared" si="1391"/>
        <v>12</v>
      </c>
      <c r="S464" s="58">
        <f t="shared" si="1391"/>
        <v>13</v>
      </c>
      <c r="T464" s="58">
        <f t="shared" si="1391"/>
        <v>17</v>
      </c>
      <c r="U464" s="58">
        <f t="shared" si="1391"/>
        <v>11</v>
      </c>
      <c r="V464" s="998">
        <f t="shared" si="1391"/>
        <v>53</v>
      </c>
      <c r="W464" s="58">
        <f t="shared" si="1391"/>
        <v>11</v>
      </c>
      <c r="X464" s="58">
        <f t="shared" si="1391"/>
        <v>11</v>
      </c>
      <c r="Y464" s="58">
        <f t="shared" si="1391"/>
        <v>15</v>
      </c>
      <c r="Z464" s="58">
        <f t="shared" si="1391"/>
        <v>14</v>
      </c>
      <c r="AA464" s="998">
        <f t="shared" si="1391"/>
        <v>51</v>
      </c>
      <c r="AB464" s="58">
        <f t="shared" si="1391"/>
        <v>8</v>
      </c>
      <c r="AC464" s="58">
        <f t="shared" si="1391"/>
        <v>16</v>
      </c>
      <c r="AD464" s="58">
        <f t="shared" si="1391"/>
        <v>15</v>
      </c>
      <c r="AE464" s="58">
        <f t="shared" si="1391"/>
        <v>10</v>
      </c>
      <c r="AF464" s="998">
        <f t="shared" si="1391"/>
        <v>49</v>
      </c>
      <c r="AG464" s="58">
        <f t="shared" si="1391"/>
        <v>11</v>
      </c>
      <c r="AH464" s="58">
        <f t="shared" si="1391"/>
        <v>18</v>
      </c>
      <c r="AI464" s="58">
        <f t="shared" si="1391"/>
        <v>16</v>
      </c>
      <c r="AJ464" s="58">
        <f t="shared" si="1391"/>
        <v>30</v>
      </c>
      <c r="AK464" s="998">
        <f t="shared" si="1391"/>
        <v>75</v>
      </c>
      <c r="AL464" s="58">
        <f t="shared" si="1391"/>
        <v>14</v>
      </c>
      <c r="AM464" s="58">
        <f t="shared" si="1383"/>
        <v>16</v>
      </c>
      <c r="AN464" s="58">
        <f t="shared" si="1383"/>
        <v>19</v>
      </c>
      <c r="AO464" s="58">
        <f t="shared" si="1383"/>
        <v>18</v>
      </c>
      <c r="AP464" s="998">
        <f t="shared" si="1383"/>
        <v>67</v>
      </c>
      <c r="AQ464" s="115"/>
      <c r="AR464" s="115"/>
      <c r="AS464" s="115"/>
      <c r="AT464" s="115"/>
      <c r="AU464" s="995"/>
      <c r="AV464" s="115"/>
      <c r="AW464" s="115"/>
      <c r="AX464" s="115"/>
      <c r="AY464" s="115"/>
      <c r="AZ464" s="995"/>
      <c r="BA464" s="115"/>
      <c r="BB464" s="115"/>
      <c r="BC464" s="115"/>
      <c r="BD464" s="115"/>
      <c r="BE464" s="995"/>
      <c r="BF464" s="115"/>
      <c r="BG464" s="115"/>
      <c r="BH464" s="641"/>
      <c r="BI464" s="115"/>
      <c r="BJ464" s="995"/>
      <c r="BK464" s="115"/>
      <c r="BL464" s="115"/>
      <c r="BM464" s="115"/>
      <c r="BN464" s="115"/>
      <c r="BO464" s="995"/>
      <c r="BP464" s="995"/>
      <c r="BQ464" s="995"/>
      <c r="BR464" s="995"/>
      <c r="BS464" s="305"/>
    </row>
    <row r="465" spans="1:71" s="51" customFormat="1" ht="15" hidden="1" outlineLevel="2">
      <c r="A465" s="109" t="s">
        <v>479</v>
      </c>
      <c r="B465" s="391"/>
      <c r="C465" s="1000"/>
      <c r="D465" s="1000"/>
      <c r="E465" s="1000"/>
      <c r="F465" s="999">
        <f t="shared" si="1392" ref="F465">SUM(F460:F464)</f>
        <v>1539</v>
      </c>
      <c r="G465" s="999">
        <f t="shared" si="1393" ref="G465">SUM(G460:G464)</f>
        <v>2551</v>
      </c>
      <c r="H465" s="57">
        <f t="shared" si="1394" ref="H465">SUM(H460:H464)</f>
        <v>478</v>
      </c>
      <c r="I465" s="57">
        <f t="shared" si="1395" ref="I465">SUM(I460:I464)</f>
        <v>299</v>
      </c>
      <c r="J465" s="57">
        <f t="shared" si="1396" ref="J465">SUM(J460:J464)</f>
        <v>676</v>
      </c>
      <c r="K465" s="57">
        <f t="shared" si="1397" ref="K465">SUM(K460:K464)</f>
        <v>782</v>
      </c>
      <c r="L465" s="999">
        <f t="shared" si="1398" ref="L465">SUM(L460:L464)</f>
        <v>2235</v>
      </c>
      <c r="M465" s="57">
        <f t="shared" si="1399" ref="M465">SUM(M460:M464)</f>
        <v>526</v>
      </c>
      <c r="N465" s="57">
        <f t="shared" si="1400" ref="N465">SUM(N460:N464)</f>
        <v>86</v>
      </c>
      <c r="O465" s="57">
        <f t="shared" si="1401" ref="O465">SUM(O460:O464)</f>
        <v>571</v>
      </c>
      <c r="P465" s="57">
        <f t="shared" si="1402" ref="P465">SUM(P460:P464)</f>
        <v>629</v>
      </c>
      <c r="Q465" s="999">
        <f t="shared" si="1403" ref="Q465">SUM(Q460:Q464)</f>
        <v>1812</v>
      </c>
      <c r="R465" s="57">
        <f t="shared" si="1404" ref="R465">SUM(R460:R464)</f>
        <v>169</v>
      </c>
      <c r="S465" s="57">
        <f t="shared" si="1405" ref="S465">SUM(S460:S464)</f>
        <v>-7</v>
      </c>
      <c r="T465" s="57">
        <f t="shared" si="1406" ref="T465">SUM(T460:T464)</f>
        <v>497</v>
      </c>
      <c r="U465" s="57">
        <f t="shared" si="1407" ref="U465">SUM(U460:U464)</f>
        <v>798</v>
      </c>
      <c r="V465" s="999">
        <f t="shared" si="1408" ref="V465">SUM(V460:V464)</f>
        <v>1457</v>
      </c>
      <c r="W465" s="57">
        <f t="shared" si="1409" ref="W465">SUM(W460:W464)</f>
        <v>594</v>
      </c>
      <c r="X465" s="57">
        <f t="shared" si="1410" ref="X465">SUM(X460:X464)</f>
        <v>308</v>
      </c>
      <c r="Y465" s="57">
        <f t="shared" si="1411" ref="Y465">SUM(Y460:Y464)</f>
        <v>562</v>
      </c>
      <c r="Z465" s="57">
        <f t="shared" si="1412" ref="Z465">SUM(Z460:Z464)</f>
        <v>737</v>
      </c>
      <c r="AA465" s="999">
        <f t="shared" si="1413" ref="AA465">SUM(AA460:AA464)</f>
        <v>2201</v>
      </c>
      <c r="AB465" s="57">
        <f t="shared" si="1414" ref="AB465:AK465">SUM(AB460:AB464)</f>
        <v>1001</v>
      </c>
      <c r="AC465" s="57">
        <f t="shared" si="1414"/>
        <v>463</v>
      </c>
      <c r="AD465" s="57">
        <f t="shared" si="1414"/>
        <v>587</v>
      </c>
      <c r="AE465" s="57">
        <f t="shared" si="1414"/>
        <v>306</v>
      </c>
      <c r="AF465" s="999">
        <f t="shared" si="1414"/>
        <v>2357</v>
      </c>
      <c r="AG465" s="57">
        <f t="shared" si="1414"/>
        <v>702</v>
      </c>
      <c r="AH465" s="57">
        <f t="shared" si="1414"/>
        <v>367</v>
      </c>
      <c r="AI465" s="57">
        <f t="shared" si="1414"/>
        <v>858</v>
      </c>
      <c r="AJ465" s="57">
        <f t="shared" si="1414"/>
        <v>1024</v>
      </c>
      <c r="AK465" s="999">
        <f t="shared" si="1414"/>
        <v>2951</v>
      </c>
      <c r="AL465" s="57">
        <f>SUM(AL460:AL464)</f>
        <v>1314</v>
      </c>
      <c r="AM465" s="57">
        <f>SUM(AM460:AM464)</f>
        <v>829</v>
      </c>
      <c r="AN465" s="57">
        <f>SUM(AN460:AN464)</f>
        <v>843</v>
      </c>
      <c r="AO465" s="57">
        <f t="shared" si="1415" ref="AO465:AP465">SUM(AO460:AO464)</f>
        <v>1411</v>
      </c>
      <c r="AP465" s="999">
        <f t="shared" si="1415"/>
        <v>4488</v>
      </c>
      <c r="AQ465" s="128"/>
      <c r="AR465" s="128"/>
      <c r="AS465" s="128"/>
      <c r="AT465" s="128"/>
      <c r="AU465" s="1000"/>
      <c r="AV465" s="128"/>
      <c r="AW465" s="128"/>
      <c r="AX465" s="128"/>
      <c r="AY465" s="128"/>
      <c r="AZ465" s="1000"/>
      <c r="BA465" s="128"/>
      <c r="BB465" s="128"/>
      <c r="BC465" s="128"/>
      <c r="BD465" s="128"/>
      <c r="BE465" s="1000"/>
      <c r="BF465" s="128"/>
      <c r="BG465" s="128"/>
      <c r="BH465" s="465"/>
      <c r="BI465" s="128"/>
      <c r="BJ465" s="1000"/>
      <c r="BK465" s="128"/>
      <c r="BL465" s="128"/>
      <c r="BM465" s="128"/>
      <c r="BN465" s="128"/>
      <c r="BO465" s="1000"/>
      <c r="BP465" s="1000"/>
      <c r="BQ465" s="1000"/>
      <c r="BR465" s="1000"/>
      <c r="BS465" s="57"/>
    </row>
    <row r="466" spans="1:71" s="22" customFormat="1" ht="15" hidden="1" outlineLevel="2">
      <c r="A466" s="492"/>
      <c r="B466" s="485"/>
      <c r="C466" s="1010"/>
      <c r="D466" s="1010"/>
      <c r="E466" s="1010"/>
      <c r="F466" s="1010"/>
      <c r="G466" s="1010"/>
      <c r="H466" s="840"/>
      <c r="I466" s="840"/>
      <c r="J466" s="840"/>
      <c r="K466" s="840"/>
      <c r="L466" s="1010"/>
      <c r="M466" s="840"/>
      <c r="N466" s="840"/>
      <c r="O466" s="840"/>
      <c r="P466" s="840"/>
      <c r="Q466" s="1010"/>
      <c r="R466" s="840"/>
      <c r="S466" s="840"/>
      <c r="T466" s="840"/>
      <c r="U466" s="840"/>
      <c r="V466" s="1010"/>
      <c r="W466" s="840"/>
      <c r="X466" s="840"/>
      <c r="Y466" s="840"/>
      <c r="Z466" s="840"/>
      <c r="AA466" s="1010"/>
      <c r="AB466" s="840"/>
      <c r="AC466" s="840"/>
      <c r="AD466" s="840"/>
      <c r="AE466" s="840"/>
      <c r="AF466" s="1010"/>
      <c r="AG466" s="840"/>
      <c r="AH466" s="840"/>
      <c r="AI466" s="840"/>
      <c r="AJ466" s="840"/>
      <c r="AK466" s="1010"/>
      <c r="AL466" s="840"/>
      <c r="AM466" s="840"/>
      <c r="AN466" s="840"/>
      <c r="AO466" s="840"/>
      <c r="AP466" s="1010"/>
      <c r="AQ466" s="840"/>
      <c r="AR466" s="840"/>
      <c r="AS466" s="840"/>
      <c r="AT466" s="840"/>
      <c r="AU466" s="1010"/>
      <c r="AV466" s="840"/>
      <c r="AW466" s="840"/>
      <c r="AX466" s="840"/>
      <c r="AY466" s="840"/>
      <c r="AZ466" s="1010"/>
      <c r="BA466" s="840"/>
      <c r="BB466" s="840"/>
      <c r="BC466" s="840"/>
      <c r="BD466" s="840"/>
      <c r="BE466" s="1010"/>
      <c r="BF466" s="840"/>
      <c r="BG466" s="840"/>
      <c r="BH466" s="841"/>
      <c r="BI466" s="840"/>
      <c r="BJ466" s="1010"/>
      <c r="BK466" s="840"/>
      <c r="BL466" s="840"/>
      <c r="BM466" s="840"/>
      <c r="BN466" s="840"/>
      <c r="BO466" s="1010"/>
      <c r="BP466" s="1010"/>
      <c r="BQ466" s="1010"/>
      <c r="BR466" s="1010"/>
      <c r="BS466" s="822"/>
    </row>
    <row r="467" spans="1:71" s="24" customFormat="1" ht="15" hidden="1" outlineLevel="2">
      <c r="A467" s="45" t="s">
        <v>480</v>
      </c>
      <c r="B467" s="494"/>
      <c r="C467" s="1011"/>
      <c r="D467" s="1011"/>
      <c r="E467" s="1011"/>
      <c r="F467" s="1017">
        <f t="shared" si="1416" ref="F467:U467">F453/F441</f>
        <v>0.68273320102069746</v>
      </c>
      <c r="G467" s="1017">
        <f t="shared" si="1416"/>
        <v>0.63589133452310131</v>
      </c>
      <c r="H467" s="47">
        <f t="shared" si="1416"/>
        <v>0.66619915848527345</v>
      </c>
      <c r="I467" s="47">
        <f t="shared" si="1416"/>
        <v>0.703062787136294</v>
      </c>
      <c r="J467" s="47">
        <f t="shared" si="1416"/>
        <v>0.64474678760393045</v>
      </c>
      <c r="K467" s="47">
        <f t="shared" si="1416"/>
        <v>0.61793870192307687</v>
      </c>
      <c r="L467" s="1017">
        <f t="shared" si="1416"/>
        <v>0.65771607292699674</v>
      </c>
      <c r="M467" s="47">
        <f t="shared" si="1416"/>
        <v>0.66666666666666663</v>
      </c>
      <c r="N467" s="47">
        <f t="shared" si="1416"/>
        <v>0.73334309562161371</v>
      </c>
      <c r="O467" s="47">
        <f t="shared" si="1416"/>
        <v>0.67570686670513558</v>
      </c>
      <c r="P467" s="47">
        <f t="shared" si="1416"/>
        <v>0.67192655286185621</v>
      </c>
      <c r="Q467" s="1017">
        <f t="shared" si="1416"/>
        <v>0.68687163048229638</v>
      </c>
      <c r="R467" s="47">
        <f t="shared" si="1416"/>
        <v>0.74108053007135577</v>
      </c>
      <c r="S467" s="47">
        <f t="shared" si="1416"/>
        <v>0.76010355242341432</v>
      </c>
      <c r="T467" s="47">
        <f t="shared" si="1416"/>
        <v>0.69280205655526994</v>
      </c>
      <c r="U467" s="47">
        <f t="shared" si="1416"/>
        <v>0.64248189691892654</v>
      </c>
      <c r="V467" s="1017">
        <f t="shared" si="1417" ref="V467:Z467">V453/V441</f>
        <v>0.70877444823254976</v>
      </c>
      <c r="W467" s="47">
        <f t="shared" si="1417"/>
        <v>0.67719994331869071</v>
      </c>
      <c r="X467" s="47">
        <f t="shared" si="1417"/>
        <v>0.71213400900900903</v>
      </c>
      <c r="Y467" s="47">
        <f t="shared" si="1417"/>
        <v>0.67519110493398193</v>
      </c>
      <c r="Z467" s="47">
        <f t="shared" si="1417"/>
        <v>0.64</v>
      </c>
      <c r="AA467" s="1017">
        <f t="shared" si="1418" ref="AA467:AE467">AA453/AA441</f>
        <v>0.67591072613600645</v>
      </c>
      <c r="AB467" s="47">
        <f t="shared" si="1418"/>
        <v>0.6205485059353254</v>
      </c>
      <c r="AC467" s="47">
        <f t="shared" si="1418"/>
        <v>0.6904953145917001</v>
      </c>
      <c r="AD467" s="47">
        <f t="shared" si="1418"/>
        <v>0.6733886911822855</v>
      </c>
      <c r="AE467" s="47">
        <f t="shared" si="1418"/>
        <v>0.70672575599582899</v>
      </c>
      <c r="AF467" s="1017">
        <f t="shared" si="1419" ref="AF467:AK467">AF453/AF441</f>
        <v>0.67326502095947838</v>
      </c>
      <c r="AG467" s="47">
        <f t="shared" si="1419"/>
        <v>0.66692466460268318</v>
      </c>
      <c r="AH467" s="47">
        <f t="shared" si="1419"/>
        <v>0.71918501645153121</v>
      </c>
      <c r="AI467" s="47">
        <f t="shared" si="1419"/>
        <v>0.6558709516068526</v>
      </c>
      <c r="AJ467" s="47">
        <f t="shared" si="1419"/>
        <v>0.62816866575986152</v>
      </c>
      <c r="AK467" s="1017">
        <f t="shared" si="1419"/>
        <v>0.66727582078265801</v>
      </c>
      <c r="AL467" s="47">
        <f>AL453/AL441</f>
        <v>0.58216136195410806</v>
      </c>
      <c r="AM467" s="47">
        <f>AM453/AM441</f>
        <v>0.57932484233955728</v>
      </c>
      <c r="AN467" s="47">
        <f>AN453/AN441</f>
        <v>0.65602022058823528</v>
      </c>
      <c r="AO467" s="47">
        <f t="shared" si="1420" ref="AO467:AP467">AO453/AO441</f>
        <v>0.59152973848646151</v>
      </c>
      <c r="AP467" s="1017">
        <f t="shared" si="1420"/>
        <v>0.60429137387582776</v>
      </c>
      <c r="AQ467" s="130"/>
      <c r="AR467" s="130"/>
      <c r="AS467" s="130"/>
      <c r="AT467" s="130"/>
      <c r="AU467" s="1011"/>
      <c r="AV467" s="130"/>
      <c r="AW467" s="130"/>
      <c r="AX467" s="130"/>
      <c r="AY467" s="130"/>
      <c r="AZ467" s="1011"/>
      <c r="BA467" s="130"/>
      <c r="BB467" s="130"/>
      <c r="BC467" s="130"/>
      <c r="BD467" s="130"/>
      <c r="BE467" s="1011"/>
      <c r="BF467" s="130"/>
      <c r="BG467" s="130"/>
      <c r="BH467" s="748"/>
      <c r="BI467" s="130"/>
      <c r="BJ467" s="1011"/>
      <c r="BK467" s="130"/>
      <c r="BL467" s="130"/>
      <c r="BM467" s="130"/>
      <c r="BN467" s="130"/>
      <c r="BO467" s="1011"/>
      <c r="BP467" s="1011"/>
      <c r="BQ467" s="1011"/>
      <c r="BR467" s="1011"/>
      <c r="BS467" s="47"/>
    </row>
    <row r="468" spans="1:71" s="24" customFormat="1" ht="15" hidden="1" outlineLevel="2">
      <c r="A468" s="63" t="s">
        <v>481</v>
      </c>
      <c r="B468" s="495"/>
      <c r="C468" s="1029"/>
      <c r="D468" s="1029"/>
      <c r="E468" s="1029"/>
      <c r="F468" s="1038">
        <f t="shared" si="1421" ref="F468:U468">(F459-F447)/F441</f>
        <v>0.25493134594353761</v>
      </c>
      <c r="G468" s="1038">
        <f t="shared" si="1421"/>
        <v>0.26293872694824511</v>
      </c>
      <c r="H468" s="345">
        <f t="shared" si="1421"/>
        <v>0.25931120461274737</v>
      </c>
      <c r="I468" s="345">
        <f t="shared" si="1421"/>
        <v>0.25114854517611024</v>
      </c>
      <c r="J468" s="345">
        <f t="shared" si="1421"/>
        <v>0.2530612244897959</v>
      </c>
      <c r="K468" s="345">
        <f t="shared" si="1421"/>
        <v>0.26457331730769229</v>
      </c>
      <c r="L468" s="1038">
        <f t="shared" si="1421"/>
        <v>0.25703715004958427</v>
      </c>
      <c r="M468" s="345">
        <f t="shared" si="1421"/>
        <v>0.25505952380952379</v>
      </c>
      <c r="N468" s="345">
        <f t="shared" si="1421"/>
        <v>0.2540635524967052</v>
      </c>
      <c r="O468" s="345">
        <f t="shared" si="1421"/>
        <v>0.24192152336987882</v>
      </c>
      <c r="P468" s="345">
        <f t="shared" si="1421"/>
        <v>0.2378424903170277</v>
      </c>
      <c r="Q468" s="1038">
        <f t="shared" si="1421"/>
        <v>0.24712224974500946</v>
      </c>
      <c r="R468" s="345">
        <f t="shared" si="1421"/>
        <v>0.23430901412552788</v>
      </c>
      <c r="S468" s="345">
        <f t="shared" si="1421"/>
        <v>0.24090320724866965</v>
      </c>
      <c r="T468" s="345">
        <f t="shared" si="1421"/>
        <v>0.23621822336475293</v>
      </c>
      <c r="U468" s="345">
        <f t="shared" si="1421"/>
        <v>0.24421411330398979</v>
      </c>
      <c r="V468" s="1038">
        <f t="shared" si="1422" ref="V468:Z468">(V459-V447)/V441</f>
        <v>0.23893773551049705</v>
      </c>
      <c r="W468" s="345">
        <f t="shared" si="1422"/>
        <v>0.23862831231401446</v>
      </c>
      <c r="X468" s="345">
        <f t="shared" si="1422"/>
        <v>0.24451013513513514</v>
      </c>
      <c r="Y468" s="345">
        <f t="shared" si="1422"/>
        <v>0.24669909659485753</v>
      </c>
      <c r="Z468" s="345">
        <f t="shared" si="1422"/>
        <v>0.25869415807560137</v>
      </c>
      <c r="AA468" s="1038">
        <f t="shared" si="1423" ref="AA468:AE468">(AA459-AA447)/AA441</f>
        <v>0.24721455764730538</v>
      </c>
      <c r="AB468" s="345">
        <f t="shared" si="1423"/>
        <v>0.24287078728339473</v>
      </c>
      <c r="AC468" s="345">
        <f t="shared" si="1423"/>
        <v>0.24752342704149932</v>
      </c>
      <c r="AD468" s="345">
        <f t="shared" si="1423"/>
        <v>0.24924212468696455</v>
      </c>
      <c r="AE468" s="345">
        <f t="shared" si="1423"/>
        <v>0.25338894681960378</v>
      </c>
      <c r="AF468" s="1038">
        <f t="shared" si="1424" ref="AF468:AK468">(AF459-AF447)/AF441</f>
        <v>0.24831991483132609</v>
      </c>
      <c r="AG468" s="345">
        <f t="shared" si="1424"/>
        <v>0.24251805985552116</v>
      </c>
      <c r="AH468" s="345">
        <f t="shared" si="1424"/>
        <v>0.23437104530498609</v>
      </c>
      <c r="AI468" s="345">
        <f t="shared" si="1424"/>
        <v>0.2368388145554583</v>
      </c>
      <c r="AJ468" s="345">
        <f t="shared" si="1424"/>
        <v>0.24520835909484356</v>
      </c>
      <c r="AK468" s="1038">
        <f t="shared" si="1424"/>
        <v>0.23974415527128362</v>
      </c>
      <c r="AL468" s="345">
        <f>(AL459-AL447)/AL441</f>
        <v>0.25573649148778682</v>
      </c>
      <c r="AM468" s="345">
        <f>(AM459-AM447)/AM441</f>
        <v>0.31816495610238654</v>
      </c>
      <c r="AN468" s="345">
        <f>(AN459-AN447)/AN441</f>
        <v>0.24712775735294118</v>
      </c>
      <c r="AO468" s="345">
        <f t="shared" si="1425" ref="AO468:AP468">(AO459-AO447)/AO441</f>
        <v>0.24519787086322611</v>
      </c>
      <c r="AP468" s="1038">
        <f t="shared" si="1425"/>
        <v>0.26592637575547268</v>
      </c>
      <c r="AQ468" s="343"/>
      <c r="AR468" s="343"/>
      <c r="AS468" s="343"/>
      <c r="AT468" s="343"/>
      <c r="AU468" s="1029"/>
      <c r="AV468" s="343"/>
      <c r="AW468" s="343"/>
      <c r="AX468" s="343"/>
      <c r="AY468" s="343"/>
      <c r="AZ468" s="1029"/>
      <c r="BA468" s="343"/>
      <c r="BB468" s="343"/>
      <c r="BC468" s="343"/>
      <c r="BD468" s="343"/>
      <c r="BE468" s="1029"/>
      <c r="BF468" s="343"/>
      <c r="BG468" s="343"/>
      <c r="BH468" s="762"/>
      <c r="BI468" s="343"/>
      <c r="BJ468" s="1029"/>
      <c r="BK468" s="343"/>
      <c r="BL468" s="343"/>
      <c r="BM468" s="343"/>
      <c r="BN468" s="343"/>
      <c r="BO468" s="1029"/>
      <c r="BP468" s="1029"/>
      <c r="BQ468" s="1029"/>
      <c r="BR468" s="1029"/>
      <c r="BS468" s="47"/>
    </row>
    <row r="469" spans="1:71" s="25" customFormat="1" ht="15" hidden="1" outlineLevel="2">
      <c r="A469" s="43" t="s">
        <v>482</v>
      </c>
      <c r="B469" s="496"/>
      <c r="C469" s="1016"/>
      <c r="D469" s="1016"/>
      <c r="E469" s="1016"/>
      <c r="F469" s="1015">
        <f t="shared" si="1426" ref="F469">SUM(F467:F468)</f>
        <v>0.93766454696423507</v>
      </c>
      <c r="G469" s="1015">
        <f t="shared" si="1427" ref="G469">SUM(G467:G468)</f>
        <v>0.89883006147134648</v>
      </c>
      <c r="H469" s="158">
        <f t="shared" si="1428" ref="H469">SUM(H467:H468)</f>
        <v>0.92551036309802082</v>
      </c>
      <c r="I469" s="158">
        <f t="shared" si="1429" ref="I469">SUM(I467:I468)</f>
        <v>0.95421133231240418</v>
      </c>
      <c r="J469" s="158">
        <f t="shared" si="1430" ref="J469">SUM(J467:J468)</f>
        <v>0.8978080120937264</v>
      </c>
      <c r="K469" s="158">
        <f t="shared" si="1431" ref="K469">SUM(K467:K468)</f>
        <v>0.88251201923076916</v>
      </c>
      <c r="L469" s="1015">
        <f t="shared" si="1432" ref="L469">SUM(L467:L468)</f>
        <v>0.91475322297658102</v>
      </c>
      <c r="M469" s="158">
        <f t="shared" si="1433" ref="M469">SUM(M467:M468)</f>
        <v>0.92172619047619042</v>
      </c>
      <c r="N469" s="158">
        <f t="shared" si="1434" ref="N469">SUM(N467:N468)</f>
        <v>0.98740664811831891</v>
      </c>
      <c r="O469" s="158">
        <f t="shared" si="1435" ref="O469">SUM(O467:O468)</f>
        <v>0.9176283900750144</v>
      </c>
      <c r="P469" s="158">
        <f t="shared" si="1436" ref="P469">SUM(P467:P468)</f>
        <v>0.90976904317888385</v>
      </c>
      <c r="Q469" s="1015">
        <f t="shared" si="1437" ref="Q469">SUM(Q467:Q468)</f>
        <v>0.93399388022730578</v>
      </c>
      <c r="R469" s="158">
        <f t="shared" si="1438" ref="R469">SUM(R467:R468)</f>
        <v>0.97538954419688362</v>
      </c>
      <c r="S469" s="158">
        <f t="shared" si="1439" ref="S469">SUM(S467:S468)</f>
        <v>1.001006759672084</v>
      </c>
      <c r="T469" s="158">
        <f t="shared" si="1440" ref="T469">SUM(T467:T468)</f>
        <v>0.9290202799200229</v>
      </c>
      <c r="U469" s="158">
        <f t="shared" si="1441" ref="U469">SUM(U467:U468)</f>
        <v>0.88669601022291633</v>
      </c>
      <c r="V469" s="1015">
        <f t="shared" si="1442" ref="V469">SUM(V467:V468)</f>
        <v>0.94771218374304678</v>
      </c>
      <c r="W469" s="158">
        <f t="shared" si="1443" ref="W469">SUM(W467:W468)</f>
        <v>0.9158282556327052</v>
      </c>
      <c r="X469" s="158">
        <f t="shared" si="1444" ref="X469">SUM(X467:X468)</f>
        <v>0.95664414414414423</v>
      </c>
      <c r="Y469" s="158">
        <f t="shared" si="1445" ref="Y469">SUM(Y467:Y468)</f>
        <v>0.92189020152883949</v>
      </c>
      <c r="Z469" s="158">
        <f t="shared" si="1446" ref="Z469">SUM(Z467:Z468)</f>
        <v>0.89869415807560138</v>
      </c>
      <c r="AA469" s="1015">
        <f t="shared" si="1447" ref="AA469">SUM(AA467:AA468)</f>
        <v>0.92312528378331182</v>
      </c>
      <c r="AB469" s="158">
        <f t="shared" si="1448" ref="AB469">SUM(AB467:AB468)</f>
        <v>0.86341929321872013</v>
      </c>
      <c r="AC469" s="158">
        <f t="shared" si="1449" ref="AC469">SUM(AC467:AC468)</f>
        <v>0.93801874163319943</v>
      </c>
      <c r="AD469" s="158">
        <f t="shared" si="1450" ref="AD469">SUM(AD467:AD468)</f>
        <v>0.92263081586925</v>
      </c>
      <c r="AE469" s="158">
        <f t="shared" si="1451" ref="AE469">SUM(AE467:AE468)</f>
        <v>0.96011470281543276</v>
      </c>
      <c r="AF469" s="1015">
        <f t="shared" si="1452" ref="AF469:AK469">SUM(AF467:AF468)</f>
        <v>0.92158493579080447</v>
      </c>
      <c r="AG469" s="158">
        <f t="shared" si="1452"/>
        <v>0.9094427244582044</v>
      </c>
      <c r="AH469" s="158">
        <f t="shared" si="1452"/>
        <v>0.9535560617565173</v>
      </c>
      <c r="AI469" s="158">
        <f t="shared" si="1452"/>
        <v>0.8927097661623109</v>
      </c>
      <c r="AJ469" s="158">
        <f t="shared" si="1452"/>
        <v>0.87337702485470503</v>
      </c>
      <c r="AK469" s="1015">
        <f t="shared" si="1452"/>
        <v>0.90701997605394169</v>
      </c>
      <c r="AL469" s="158">
        <f>SUM(AL467:AL468)</f>
        <v>0.83789785344189482</v>
      </c>
      <c r="AM469" s="158">
        <f>SUM(AM467:AM468)</f>
        <v>0.89748979844194388</v>
      </c>
      <c r="AN469" s="158">
        <f>SUM(AN467:AN468)</f>
        <v>0.90314797794117641</v>
      </c>
      <c r="AO469" s="158">
        <f t="shared" si="1453" ref="AO469:AP469">SUM(AO467:AO468)</f>
        <v>0.8367276093496876</v>
      </c>
      <c r="AP469" s="1015">
        <f t="shared" si="1453"/>
        <v>0.87021774963130039</v>
      </c>
      <c r="AQ469" s="393"/>
      <c r="AR469" s="393"/>
      <c r="AS469" s="393"/>
      <c r="AT469" s="393"/>
      <c r="AU469" s="1016"/>
      <c r="AV469" s="393"/>
      <c r="AW469" s="393"/>
      <c r="AX469" s="393"/>
      <c r="AY469" s="393"/>
      <c r="AZ469" s="1016"/>
      <c r="BA469" s="393"/>
      <c r="BB469" s="393"/>
      <c r="BC469" s="393"/>
      <c r="BD469" s="393"/>
      <c r="BE469" s="1016"/>
      <c r="BF469" s="393"/>
      <c r="BG469" s="393"/>
      <c r="BH469" s="751"/>
      <c r="BI469" s="393"/>
      <c r="BJ469" s="1016"/>
      <c r="BK469" s="393"/>
      <c r="BL469" s="393"/>
      <c r="BM469" s="393"/>
      <c r="BN469" s="393"/>
      <c r="BO469" s="1016"/>
      <c r="BP469" s="1016"/>
      <c r="BQ469" s="1016"/>
      <c r="BR469" s="1016"/>
      <c r="BS469" s="158"/>
    </row>
    <row r="470" spans="1:71" s="24" customFormat="1" ht="15" hidden="1" outlineLevel="2">
      <c r="A470" s="45" t="s">
        <v>483</v>
      </c>
      <c r="B470" s="494"/>
      <c r="C470" s="1011"/>
      <c r="D470" s="1011"/>
      <c r="E470" s="1011"/>
      <c r="F470" s="1012">
        <v>-0.088999999999999996</v>
      </c>
      <c r="G470" s="1012">
        <v>-0.047</v>
      </c>
      <c r="H470" s="905">
        <v>-0.064000000000000001</v>
      </c>
      <c r="I470" s="905">
        <v>-0.13100000000000001</v>
      </c>
      <c r="J470" s="905">
        <v>-0.069000000000000006</v>
      </c>
      <c r="K470" s="905">
        <v>-0.012999999999999999</v>
      </c>
      <c r="L470" s="1012">
        <v>-0.069000000000000006</v>
      </c>
      <c r="M470" s="905">
        <v>-0.041000000000000002</v>
      </c>
      <c r="N470" s="905">
        <v>-0.107</v>
      </c>
      <c r="O470" s="905">
        <v>-0.035999999999999997</v>
      </c>
      <c r="P470" s="905">
        <v>-0.049000000000000002</v>
      </c>
      <c r="Q470" s="1012">
        <v>-0.058000000000000003</v>
      </c>
      <c r="R470" s="905">
        <v>-0.114</v>
      </c>
      <c r="S470" s="905">
        <v>-0.13100000000000001</v>
      </c>
      <c r="T470" s="905">
        <v>-0.063</v>
      </c>
      <c r="U470" s="905">
        <v>-0.041000000000000002</v>
      </c>
      <c r="V470" s="1012">
        <v>-0.086999999999999994</v>
      </c>
      <c r="W470" s="905">
        <v>-0.10000000000000001</v>
      </c>
      <c r="X470" s="905">
        <v>-0.129</v>
      </c>
      <c r="Y470" s="905">
        <v>-0.115</v>
      </c>
      <c r="Z470" s="905">
        <v>-0.073999999999999996</v>
      </c>
      <c r="AA470" s="1012">
        <v>-0.104</v>
      </c>
      <c r="AB470" s="905">
        <v>-0.045</v>
      </c>
      <c r="AC470" s="905">
        <v>-0.112</v>
      </c>
      <c r="AD470" s="905">
        <v>-0.078</v>
      </c>
      <c r="AE470" s="905">
        <v>-0.123</v>
      </c>
      <c r="AF470" s="1012">
        <v>-0.09</v>
      </c>
      <c r="AG470" s="905">
        <v>-0.083000000000000004</v>
      </c>
      <c r="AH470" s="905">
        <v>-0.13</v>
      </c>
      <c r="AI470" s="905">
        <v>-0.056000000000000001</v>
      </c>
      <c r="AJ470" s="905">
        <v>-0.034000000000000002</v>
      </c>
      <c r="AK470" s="1012">
        <v>-0.075</v>
      </c>
      <c r="AL470" s="905">
        <v>-0.024</v>
      </c>
      <c r="AM470" s="905">
        <v>-0.13700000000000001</v>
      </c>
      <c r="AN470" s="905">
        <v>-0.113</v>
      </c>
      <c r="AO470" s="905">
        <v>-0.047</v>
      </c>
      <c r="AP470" s="1012">
        <v>-0.079000000000000001</v>
      </c>
      <c r="AQ470" s="130"/>
      <c r="AR470" s="130"/>
      <c r="AS470" s="130"/>
      <c r="AT470" s="130"/>
      <c r="AU470" s="1011"/>
      <c r="AV470" s="130"/>
      <c r="AW470" s="130"/>
      <c r="AX470" s="130"/>
      <c r="AY470" s="130"/>
      <c r="AZ470" s="1011"/>
      <c r="BA470" s="130"/>
      <c r="BB470" s="130"/>
      <c r="BC470" s="130"/>
      <c r="BD470" s="130"/>
      <c r="BE470" s="1011"/>
      <c r="BF470" s="130"/>
      <c r="BG470" s="130"/>
      <c r="BH470" s="748"/>
      <c r="BI470" s="130"/>
      <c r="BJ470" s="1011"/>
      <c r="BK470" s="130"/>
      <c r="BL470" s="130"/>
      <c r="BM470" s="130"/>
      <c r="BN470" s="130"/>
      <c r="BO470" s="1011"/>
      <c r="BP470" s="1011"/>
      <c r="BQ470" s="1011"/>
      <c r="BR470" s="1011"/>
      <c r="BS470" s="47"/>
    </row>
    <row r="471" spans="1:71" s="24" customFormat="1" ht="15" hidden="1" outlineLevel="2">
      <c r="A471" s="45" t="s">
        <v>484</v>
      </c>
      <c r="B471" s="494"/>
      <c r="C471" s="1011"/>
      <c r="D471" s="1011"/>
      <c r="E471" s="1011"/>
      <c r="F471" s="1012">
        <v>0.010999999999999999</v>
      </c>
      <c r="G471" s="1012">
        <v>0.0060000000000000001</v>
      </c>
      <c r="H471" s="905">
        <v>0.002</v>
      </c>
      <c r="I471" s="905">
        <v>0.0070000000000000001</v>
      </c>
      <c r="J471" s="905">
        <v>0.012999999999999999</v>
      </c>
      <c r="K471" s="905">
        <v>0.0089999999999999993</v>
      </c>
      <c r="L471" s="1012">
        <v>0.0080000000000000002</v>
      </c>
      <c r="M471" s="905">
        <v>-0.0070000000000000001</v>
      </c>
      <c r="N471" s="905">
        <v>-0.0030000000000000001</v>
      </c>
      <c r="O471" s="905">
        <v>0.001</v>
      </c>
      <c r="P471" s="905">
        <v>0.001</v>
      </c>
      <c r="Q471" s="1012">
        <v>-0.002</v>
      </c>
      <c r="R471" s="905">
        <v>-0.002</v>
      </c>
      <c r="S471" s="905">
        <v>0.002</v>
      </c>
      <c r="T471" s="905">
        <v>0</v>
      </c>
      <c r="U471" s="905">
        <v>0.016</v>
      </c>
      <c r="V471" s="1012">
        <v>0.0040000000000000001</v>
      </c>
      <c r="W471" s="905">
        <v>0.015</v>
      </c>
      <c r="X471" s="905">
        <v>0.010999999999999999</v>
      </c>
      <c r="Y471" s="905">
        <v>0.03</v>
      </c>
      <c r="Z471" s="905">
        <v>0.023</v>
      </c>
      <c r="AA471" s="1012">
        <v>0.02</v>
      </c>
      <c r="AB471" s="905">
        <v>0.0080000000000000002</v>
      </c>
      <c r="AC471" s="905">
        <v>0.017000000000000001</v>
      </c>
      <c r="AD471" s="905">
        <v>0.0080000000000000002</v>
      </c>
      <c r="AE471" s="905">
        <v>0.012</v>
      </c>
      <c r="AF471" s="1012">
        <v>0.010999999999999999</v>
      </c>
      <c r="AG471" s="905">
        <v>0.0060000000000000001</v>
      </c>
      <c r="AH471" s="905">
        <v>0.01</v>
      </c>
      <c r="AI471" s="905">
        <v>0.017000000000000001</v>
      </c>
      <c r="AJ471" s="905">
        <v>0.001</v>
      </c>
      <c r="AK471" s="1012">
        <v>0.0080000000000000002</v>
      </c>
      <c r="AL471" s="905">
        <v>-0.0030000000000000001</v>
      </c>
      <c r="AM471" s="905">
        <v>0.005</v>
      </c>
      <c r="AN471" s="905">
        <v>0.0070000000000000001</v>
      </c>
      <c r="AO471" s="130"/>
      <c r="AP471" s="1012">
        <v>0.002</v>
      </c>
      <c r="AQ471" s="130"/>
      <c r="AR471" s="130"/>
      <c r="AS471" s="130"/>
      <c r="AT471" s="130"/>
      <c r="AU471" s="1011"/>
      <c r="AV471" s="130"/>
      <c r="AW471" s="130"/>
      <c r="AX471" s="130"/>
      <c r="AY471" s="130"/>
      <c r="AZ471" s="1011"/>
      <c r="BA471" s="130"/>
      <c r="BB471" s="130"/>
      <c r="BC471" s="130"/>
      <c r="BD471" s="130"/>
      <c r="BE471" s="1011"/>
      <c r="BF471" s="130"/>
      <c r="BG471" s="130"/>
      <c r="BH471" s="748"/>
      <c r="BI471" s="130"/>
      <c r="BJ471" s="1011"/>
      <c r="BK471" s="130"/>
      <c r="BL471" s="130"/>
      <c r="BM471" s="130"/>
      <c r="BN471" s="130"/>
      <c r="BO471" s="1011"/>
      <c r="BP471" s="1011"/>
      <c r="BQ471" s="1011"/>
      <c r="BR471" s="1011"/>
      <c r="BS471" s="47"/>
    </row>
    <row r="472" spans="1:71" s="24" customFormat="1" ht="15" hidden="1" outlineLevel="2">
      <c r="A472" s="63" t="s">
        <v>657</v>
      </c>
      <c r="B472" s="495"/>
      <c r="C472" s="1029"/>
      <c r="D472" s="1029"/>
      <c r="E472" s="1029"/>
      <c r="F472" s="1029"/>
      <c r="G472" s="1029"/>
      <c r="H472" s="343"/>
      <c r="I472" s="343"/>
      <c r="J472" s="343"/>
      <c r="K472" s="343"/>
      <c r="L472" s="1029"/>
      <c r="M472" s="343"/>
      <c r="N472" s="343"/>
      <c r="O472" s="343"/>
      <c r="P472" s="343"/>
      <c r="Q472" s="1029"/>
      <c r="R472" s="343"/>
      <c r="S472" s="343"/>
      <c r="T472" s="343"/>
      <c r="U472" s="343"/>
      <c r="V472" s="1029"/>
      <c r="W472" s="343"/>
      <c r="X472" s="343"/>
      <c r="Y472" s="343"/>
      <c r="Z472" s="343"/>
      <c r="AA472" s="1029"/>
      <c r="AB472" s="343"/>
      <c r="AC472" s="343"/>
      <c r="AD472" s="343"/>
      <c r="AE472" s="343"/>
      <c r="AF472" s="1029"/>
      <c r="AG472" s="343"/>
      <c r="AH472" s="343"/>
      <c r="AI472" s="343"/>
      <c r="AJ472" s="343"/>
      <c r="AK472" s="1029"/>
      <c r="AL472" s="343"/>
      <c r="AM472" s="343"/>
      <c r="AN472" s="343"/>
      <c r="AO472" s="911">
        <v>-0.001</v>
      </c>
      <c r="AP472" s="1029"/>
      <c r="AQ472" s="343"/>
      <c r="AR472" s="343"/>
      <c r="AS472" s="343"/>
      <c r="AT472" s="343"/>
      <c r="AU472" s="1029"/>
      <c r="AV472" s="343"/>
      <c r="AW472" s="343"/>
      <c r="AX472" s="343"/>
      <c r="AY472" s="343"/>
      <c r="AZ472" s="1029"/>
      <c r="BA472" s="343"/>
      <c r="BB472" s="343"/>
      <c r="BC472" s="343"/>
      <c r="BD472" s="343"/>
      <c r="BE472" s="1029"/>
      <c r="BF472" s="343"/>
      <c r="BG472" s="343"/>
      <c r="BH472" s="762"/>
      <c r="BI472" s="343"/>
      <c r="BJ472" s="1029"/>
      <c r="BK472" s="343"/>
      <c r="BL472" s="343"/>
      <c r="BM472" s="343"/>
      <c r="BN472" s="343"/>
      <c r="BO472" s="1029"/>
      <c r="BP472" s="1029"/>
      <c r="BQ472" s="1029"/>
      <c r="BR472" s="1029"/>
      <c r="BS472" s="47"/>
    </row>
    <row r="473" spans="1:71" s="25" customFormat="1" ht="15" hidden="1" outlineLevel="2">
      <c r="A473" s="43" t="s">
        <v>485</v>
      </c>
      <c r="B473" s="496"/>
      <c r="C473" s="1016"/>
      <c r="D473" s="1016"/>
      <c r="E473" s="1016"/>
      <c r="F473" s="1015">
        <f t="shared" si="1454" ref="F473:AO473">SUM(F469:F472)</f>
        <v>0.85966454696423511</v>
      </c>
      <c r="G473" s="1015">
        <f t="shared" si="1454"/>
        <v>0.85783006147134644</v>
      </c>
      <c r="H473" s="158">
        <f t="shared" si="1454"/>
        <v>0.86351036309802076</v>
      </c>
      <c r="I473" s="158">
        <f t="shared" si="1454"/>
        <v>0.83021133231240418</v>
      </c>
      <c r="J473" s="158">
        <f t="shared" si="1454"/>
        <v>0.84180801209372647</v>
      </c>
      <c r="K473" s="158">
        <f t="shared" si="1454"/>
        <v>0.87851201923076916</v>
      </c>
      <c r="L473" s="1015">
        <f t="shared" si="1454"/>
        <v>0.85375322297658096</v>
      </c>
      <c r="M473" s="158">
        <f t="shared" si="1454"/>
        <v>0.87372619047619038</v>
      </c>
      <c r="N473" s="158">
        <f t="shared" si="1454"/>
        <v>0.87740664811831892</v>
      </c>
      <c r="O473" s="158">
        <f t="shared" si="1454"/>
        <v>0.88262839007501437</v>
      </c>
      <c r="P473" s="158">
        <f t="shared" si="1454"/>
        <v>0.86176904317888381</v>
      </c>
      <c r="Q473" s="1015">
        <f t="shared" si="1454"/>
        <v>0.87399388022730573</v>
      </c>
      <c r="R473" s="158">
        <f t="shared" si="1454"/>
        <v>0.85938954419688363</v>
      </c>
      <c r="S473" s="158">
        <f t="shared" si="1454"/>
        <v>0.87200675967208396</v>
      </c>
      <c r="T473" s="158">
        <f t="shared" si="1454"/>
        <v>0.86602027992002295</v>
      </c>
      <c r="U473" s="158">
        <f t="shared" si="1454"/>
        <v>0.86169601022291631</v>
      </c>
      <c r="V473" s="1015">
        <f t="shared" si="1454"/>
        <v>0.86471218374304681</v>
      </c>
      <c r="W473" s="158">
        <f t="shared" si="1454"/>
        <v>0.83082825563270524</v>
      </c>
      <c r="X473" s="158">
        <f t="shared" si="1454"/>
        <v>0.83864414414414423</v>
      </c>
      <c r="Y473" s="158">
        <f t="shared" si="1454"/>
        <v>0.83689020152883953</v>
      </c>
      <c r="Z473" s="158">
        <f t="shared" si="1454"/>
        <v>0.84769415807560144</v>
      </c>
      <c r="AA473" s="1015">
        <f t="shared" si="1454"/>
        <v>0.83912528378331186</v>
      </c>
      <c r="AB473" s="158">
        <f t="shared" si="1454"/>
        <v>0.8264192932187201</v>
      </c>
      <c r="AC473" s="158">
        <f t="shared" si="1454"/>
        <v>0.84301874163319945</v>
      </c>
      <c r="AD473" s="158">
        <f t="shared" si="1454"/>
        <v>0.85263081586925005</v>
      </c>
      <c r="AE473" s="158">
        <f t="shared" si="1454"/>
        <v>0.84911470281543278</v>
      </c>
      <c r="AF473" s="1015">
        <f t="shared" si="1454"/>
        <v>0.84258493579080451</v>
      </c>
      <c r="AG473" s="158">
        <f t="shared" si="1454"/>
        <v>0.83244272445820444</v>
      </c>
      <c r="AH473" s="158">
        <f t="shared" si="1454"/>
        <v>0.83355606175651731</v>
      </c>
      <c r="AI473" s="158">
        <f t="shared" si="1454"/>
        <v>0.85370976616231087</v>
      </c>
      <c r="AJ473" s="158">
        <f t="shared" si="1454"/>
        <v>0.840377024854705</v>
      </c>
      <c r="AK473" s="1015">
        <f t="shared" si="1454"/>
        <v>0.84001997605394174</v>
      </c>
      <c r="AL473" s="158">
        <f t="shared" si="1454"/>
        <v>0.8108978534418948</v>
      </c>
      <c r="AM473" s="158">
        <f t="shared" si="1454"/>
        <v>0.76548979844194387</v>
      </c>
      <c r="AN473" s="158">
        <f t="shared" si="1454"/>
        <v>0.79714797794117642</v>
      </c>
      <c r="AO473" s="158">
        <f t="shared" si="1454"/>
        <v>0.78872760934968755</v>
      </c>
      <c r="AP473" s="1015">
        <f>SUM(AP469:AP472)</f>
        <v>0.79321774963130043</v>
      </c>
      <c r="AQ473" s="393"/>
      <c r="AR473" s="393"/>
      <c r="AS473" s="393"/>
      <c r="AT473" s="393"/>
      <c r="AU473" s="1016"/>
      <c r="AV473" s="393"/>
      <c r="AW473" s="393"/>
      <c r="AX473" s="393"/>
      <c r="AY473" s="393"/>
      <c r="AZ473" s="1016"/>
      <c r="BA473" s="393"/>
      <c r="BB473" s="393"/>
      <c r="BC473" s="393"/>
      <c r="BD473" s="393"/>
      <c r="BE473" s="1016"/>
      <c r="BF473" s="393"/>
      <c r="BG473" s="393"/>
      <c r="BH473" s="751"/>
      <c r="BI473" s="393"/>
      <c r="BJ473" s="1016"/>
      <c r="BK473" s="393"/>
      <c r="BL473" s="393"/>
      <c r="BM473" s="393"/>
      <c r="BN473" s="393"/>
      <c r="BO473" s="1016"/>
      <c r="BP473" s="1016"/>
      <c r="BQ473" s="1016"/>
      <c r="BR473" s="1016"/>
      <c r="BS473" s="158"/>
    </row>
    <row r="474" spans="1:71" s="17" customFormat="1" ht="15" hidden="1" outlineLevel="1">
      <c r="A474" s="492"/>
      <c r="B474" s="493"/>
      <c r="C474" s="1027"/>
      <c r="D474" s="1027"/>
      <c r="E474" s="1027"/>
      <c r="F474" s="1027"/>
      <c r="G474" s="1027"/>
      <c r="H474" s="843"/>
      <c r="I474" s="843"/>
      <c r="J474" s="843"/>
      <c r="K474" s="843"/>
      <c r="L474" s="1027"/>
      <c r="M474" s="843"/>
      <c r="N474" s="843"/>
      <c r="O474" s="843"/>
      <c r="P474" s="843"/>
      <c r="Q474" s="1027"/>
      <c r="R474" s="843"/>
      <c r="S474" s="843"/>
      <c r="T474" s="843"/>
      <c r="U474" s="843"/>
      <c r="V474" s="1027"/>
      <c r="W474" s="843"/>
      <c r="X474" s="843"/>
      <c r="Y474" s="843"/>
      <c r="Z474" s="843"/>
      <c r="AA474" s="1027"/>
      <c r="AB474" s="843"/>
      <c r="AC474" s="843"/>
      <c r="AD474" s="843"/>
      <c r="AE474" s="843"/>
      <c r="AF474" s="1027"/>
      <c r="AG474" s="843"/>
      <c r="AH474" s="843"/>
      <c r="AI474" s="843"/>
      <c r="AJ474" s="843"/>
      <c r="AK474" s="1027"/>
      <c r="AL474" s="843"/>
      <c r="AM474" s="843"/>
      <c r="AN474" s="843"/>
      <c r="AO474" s="843"/>
      <c r="AP474" s="1027"/>
      <c r="AQ474" s="843"/>
      <c r="AR474" s="843"/>
      <c r="AS474" s="843"/>
      <c r="AT474" s="843"/>
      <c r="AU474" s="1027"/>
      <c r="AV474" s="843"/>
      <c r="AW474" s="843"/>
      <c r="AX474" s="843"/>
      <c r="AY474" s="843"/>
      <c r="AZ474" s="1027"/>
      <c r="BA474" s="843"/>
      <c r="BB474" s="843"/>
      <c r="BC474" s="843"/>
      <c r="BD474" s="843"/>
      <c r="BE474" s="1027"/>
      <c r="BF474" s="843"/>
      <c r="BG474" s="843"/>
      <c r="BH474" s="844"/>
      <c r="BI474" s="843"/>
      <c r="BJ474" s="1027"/>
      <c r="BK474" s="843"/>
      <c r="BL474" s="843"/>
      <c r="BM474" s="843"/>
      <c r="BN474" s="843"/>
      <c r="BO474" s="1027"/>
      <c r="BP474" s="1027"/>
      <c r="BQ474" s="1027"/>
      <c r="BR474" s="1027"/>
      <c r="BS474" s="457"/>
    </row>
    <row r="475" spans="1:71" s="17" customFormat="1" ht="15" hidden="1" outlineLevel="1">
      <c r="A475" s="818" t="s">
        <v>832</v>
      </c>
      <c r="B475" s="818"/>
      <c r="C475" s="837"/>
      <c r="D475" s="837"/>
      <c r="E475" s="837"/>
      <c r="F475" s="837"/>
      <c r="G475" s="837"/>
      <c r="H475" s="837"/>
      <c r="I475" s="837"/>
      <c r="J475" s="837"/>
      <c r="K475" s="837"/>
      <c r="L475" s="837"/>
      <c r="M475" s="837"/>
      <c r="N475" s="837"/>
      <c r="O475" s="837"/>
      <c r="P475" s="837"/>
      <c r="Q475" s="837"/>
      <c r="R475" s="837"/>
      <c r="S475" s="837"/>
      <c r="T475" s="837"/>
      <c r="U475" s="837"/>
      <c r="V475" s="837"/>
      <c r="W475" s="837"/>
      <c r="X475" s="837"/>
      <c r="Y475" s="837"/>
      <c r="Z475" s="837"/>
      <c r="AA475" s="837"/>
      <c r="AB475" s="837"/>
      <c r="AC475" s="837"/>
      <c r="AD475" s="837"/>
      <c r="AE475" s="837"/>
      <c r="AF475" s="837"/>
      <c r="AG475" s="837"/>
      <c r="AH475" s="837"/>
      <c r="AI475" s="837"/>
      <c r="AJ475" s="837"/>
      <c r="AK475" s="837"/>
      <c r="AL475" s="837"/>
      <c r="AM475" s="837"/>
      <c r="AN475" s="837"/>
      <c r="AO475" s="837"/>
      <c r="AP475" s="837"/>
      <c r="AQ475" s="837"/>
      <c r="AR475" s="837"/>
      <c r="AS475" s="837"/>
      <c r="AT475" s="837"/>
      <c r="AU475" s="837"/>
      <c r="AV475" s="837"/>
      <c r="AW475" s="837"/>
      <c r="AX475" s="837"/>
      <c r="AY475" s="837"/>
      <c r="AZ475" s="837"/>
      <c r="BA475" s="837"/>
      <c r="BB475" s="837"/>
      <c r="BC475" s="837"/>
      <c r="BD475" s="837"/>
      <c r="BE475" s="837"/>
      <c r="BF475" s="837"/>
      <c r="BG475" s="837"/>
      <c r="BH475" s="838"/>
      <c r="BI475" s="837"/>
      <c r="BJ475" s="837"/>
      <c r="BK475" s="837"/>
      <c r="BL475" s="837"/>
      <c r="BM475" s="837"/>
      <c r="BN475" s="837"/>
      <c r="BO475" s="837"/>
      <c r="BP475" s="837"/>
      <c r="BQ475" s="837"/>
      <c r="BR475" s="837"/>
      <c r="BS475" s="457"/>
    </row>
    <row r="476" spans="1:71" s="300" customFormat="1" ht="15" hidden="1" outlineLevel="2">
      <c r="A476" s="304" t="s">
        <v>489</v>
      </c>
      <c r="B476" s="233"/>
      <c r="C476" s="989"/>
      <c r="D476" s="989"/>
      <c r="E476" s="989"/>
      <c r="F476" s="988">
        <v>967</v>
      </c>
      <c r="G476" s="988">
        <v>1245</v>
      </c>
      <c r="H476" s="897">
        <v>342</v>
      </c>
      <c r="I476" s="897">
        <v>365</v>
      </c>
      <c r="J476" s="897">
        <v>370</v>
      </c>
      <c r="K476" s="897">
        <v>378</v>
      </c>
      <c r="L476" s="993">
        <f>SUM(H476,I476,J476,K476)</f>
        <v>1455</v>
      </c>
      <c r="M476" s="897">
        <v>382</v>
      </c>
      <c r="N476" s="897">
        <v>397</v>
      </c>
      <c r="O476" s="897">
        <v>392</v>
      </c>
      <c r="P476" s="897">
        <v>391</v>
      </c>
      <c r="Q476" s="993">
        <f>SUM(M476,N476,O476,P476)</f>
        <v>1562</v>
      </c>
      <c r="R476" s="897">
        <v>394</v>
      </c>
      <c r="S476" s="897">
        <v>403</v>
      </c>
      <c r="T476" s="897">
        <v>405</v>
      </c>
      <c r="U476" s="897">
        <v>408</v>
      </c>
      <c r="V476" s="993">
        <f>SUM(R476,S476,T476,U476)</f>
        <v>1610</v>
      </c>
      <c r="W476" s="897">
        <v>403</v>
      </c>
      <c r="X476" s="897">
        <v>411</v>
      </c>
      <c r="Y476" s="897">
        <v>411</v>
      </c>
      <c r="Z476" s="897">
        <v>411</v>
      </c>
      <c r="AA476" s="993">
        <f>SUM(W476,X476,Y476,Z476)</f>
        <v>1636</v>
      </c>
      <c r="AB476" s="897">
        <v>411</v>
      </c>
      <c r="AC476" s="897">
        <v>439</v>
      </c>
      <c r="AD476" s="897">
        <v>455</v>
      </c>
      <c r="AE476" s="897">
        <v>466</v>
      </c>
      <c r="AF476" s="993">
        <f>SUM(AB476,AC476,AD476,AE476)</f>
        <v>1771</v>
      </c>
      <c r="AG476" s="897">
        <v>475</v>
      </c>
      <c r="AH476" s="897">
        <v>496</v>
      </c>
      <c r="AI476" s="897">
        <v>498</v>
      </c>
      <c r="AJ476" s="897">
        <v>500</v>
      </c>
      <c r="AK476" s="993">
        <f>SUM(AG476,AH476,AI476,AJ476)</f>
        <v>1969</v>
      </c>
      <c r="AL476" s="897">
        <v>487</v>
      </c>
      <c r="AM476" s="897">
        <v>491</v>
      </c>
      <c r="AN476" s="92"/>
      <c r="AO476" s="92"/>
      <c r="AP476" s="989"/>
      <c r="AQ476" s="92"/>
      <c r="AR476" s="92"/>
      <c r="AS476" s="92"/>
      <c r="AT476" s="92"/>
      <c r="AU476" s="989"/>
      <c r="AV476" s="92"/>
      <c r="AW476" s="92"/>
      <c r="AX476" s="92"/>
      <c r="AY476" s="92"/>
      <c r="AZ476" s="989"/>
      <c r="BA476" s="92"/>
      <c r="BB476" s="92"/>
      <c r="BC476" s="92"/>
      <c r="BD476" s="92"/>
      <c r="BE476" s="989"/>
      <c r="BF476" s="92"/>
      <c r="BG476" s="92"/>
      <c r="BH476" s="464"/>
      <c r="BI476" s="92"/>
      <c r="BJ476" s="989"/>
      <c r="BK476" s="92"/>
      <c r="BL476" s="92"/>
      <c r="BM476" s="92"/>
      <c r="BN476" s="92"/>
      <c r="BO476" s="989"/>
      <c r="BP476" s="989"/>
      <c r="BQ476" s="989"/>
      <c r="BR476" s="989"/>
      <c r="BS476" s="305"/>
    </row>
    <row r="477" spans="1:71" s="300" customFormat="1" ht="15" hidden="1" outlineLevel="2">
      <c r="A477" s="304" t="s">
        <v>490</v>
      </c>
      <c r="B477" s="233"/>
      <c r="C477" s="989"/>
      <c r="D477" s="989"/>
      <c r="E477" s="989"/>
      <c r="F477" s="988">
        <v>0</v>
      </c>
      <c r="G477" s="988">
        <v>0</v>
      </c>
      <c r="H477" s="897">
        <v>0</v>
      </c>
      <c r="I477" s="897">
        <v>0</v>
      </c>
      <c r="J477" s="897">
        <v>1</v>
      </c>
      <c r="K477" s="897">
        <v>2</v>
      </c>
      <c r="L477" s="993">
        <f>SUM(H477,I477,J477,K477)</f>
        <v>3</v>
      </c>
      <c r="M477" s="897">
        <v>3</v>
      </c>
      <c r="N477" s="897">
        <v>4</v>
      </c>
      <c r="O477" s="897">
        <v>5</v>
      </c>
      <c r="P477" s="897">
        <v>7</v>
      </c>
      <c r="Q477" s="993">
        <f>SUM(M477,N477,O477,P477)</f>
        <v>19</v>
      </c>
      <c r="R477" s="897">
        <v>8</v>
      </c>
      <c r="S477" s="897">
        <v>10</v>
      </c>
      <c r="T477" s="897">
        <v>11</v>
      </c>
      <c r="U477" s="897">
        <v>13</v>
      </c>
      <c r="V477" s="993">
        <f>SUM(R477,S477,T477,U477)</f>
        <v>42</v>
      </c>
      <c r="W477" s="897">
        <v>14</v>
      </c>
      <c r="X477" s="897">
        <v>16</v>
      </c>
      <c r="Y477" s="897">
        <v>19</v>
      </c>
      <c r="Z477" s="897">
        <v>19</v>
      </c>
      <c r="AA477" s="993">
        <f>SUM(W477,X477,Y477,Z477)</f>
        <v>68</v>
      </c>
      <c r="AB477" s="897">
        <v>20</v>
      </c>
      <c r="AC477" s="897">
        <v>22</v>
      </c>
      <c r="AD477" s="897">
        <v>22</v>
      </c>
      <c r="AE477" s="897">
        <v>26</v>
      </c>
      <c r="AF477" s="993">
        <f>SUM(AB477,AC477,AD477,AE477)</f>
        <v>90</v>
      </c>
      <c r="AG477" s="897">
        <v>25</v>
      </c>
      <c r="AH477" s="897">
        <v>27</v>
      </c>
      <c r="AI477" s="897">
        <v>28</v>
      </c>
      <c r="AJ477" s="897">
        <v>30</v>
      </c>
      <c r="AK477" s="993">
        <f>SUM(AG477,AH477,AI477,AJ477)</f>
        <v>110</v>
      </c>
      <c r="AL477" s="897">
        <v>30</v>
      </c>
      <c r="AM477" s="897">
        <v>30</v>
      </c>
      <c r="AN477" s="92"/>
      <c r="AO477" s="92"/>
      <c r="AP477" s="989"/>
      <c r="AQ477" s="92"/>
      <c r="AR477" s="92"/>
      <c r="AS477" s="92"/>
      <c r="AT477" s="92"/>
      <c r="AU477" s="989"/>
      <c r="AV477" s="92"/>
      <c r="AW477" s="92"/>
      <c r="AX477" s="92"/>
      <c r="AY477" s="92"/>
      <c r="AZ477" s="989"/>
      <c r="BA477" s="92"/>
      <c r="BB477" s="92"/>
      <c r="BC477" s="92"/>
      <c r="BD477" s="92"/>
      <c r="BE477" s="989"/>
      <c r="BF477" s="92"/>
      <c r="BG477" s="92"/>
      <c r="BH477" s="464"/>
      <c r="BI477" s="92"/>
      <c r="BJ477" s="989"/>
      <c r="BK477" s="92"/>
      <c r="BL477" s="92"/>
      <c r="BM477" s="92"/>
      <c r="BN477" s="92"/>
      <c r="BO477" s="989"/>
      <c r="BP477" s="989"/>
      <c r="BQ477" s="989"/>
      <c r="BR477" s="989"/>
      <c r="BS477" s="305"/>
    </row>
    <row r="478" spans="1:71" s="300" customFormat="1" ht="15" hidden="1" outlineLevel="2">
      <c r="A478" s="110" t="s">
        <v>491</v>
      </c>
      <c r="B478" s="113"/>
      <c r="C478" s="995"/>
      <c r="D478" s="995"/>
      <c r="E478" s="995"/>
      <c r="F478" s="990">
        <v>0</v>
      </c>
      <c r="G478" s="990">
        <v>2</v>
      </c>
      <c r="H478" s="900">
        <v>1</v>
      </c>
      <c r="I478" s="900">
        <v>1</v>
      </c>
      <c r="J478" s="900">
        <v>2</v>
      </c>
      <c r="K478" s="900">
        <v>1</v>
      </c>
      <c r="L478" s="998">
        <f>SUM(H478,I478,J478,K478)</f>
        <v>5</v>
      </c>
      <c r="M478" s="900">
        <v>2</v>
      </c>
      <c r="N478" s="900">
        <v>1</v>
      </c>
      <c r="O478" s="900">
        <v>2</v>
      </c>
      <c r="P478" s="900">
        <v>2</v>
      </c>
      <c r="Q478" s="998">
        <f>SUM(M478,N478,O478,P478)</f>
        <v>7</v>
      </c>
      <c r="R478" s="900">
        <v>2</v>
      </c>
      <c r="S478" s="900">
        <v>2</v>
      </c>
      <c r="T478" s="900">
        <v>2</v>
      </c>
      <c r="U478" s="900">
        <v>2</v>
      </c>
      <c r="V478" s="998">
        <f>SUM(R478,S478,T478,U478)</f>
        <v>8</v>
      </c>
      <c r="W478" s="900">
        <v>2</v>
      </c>
      <c r="X478" s="900">
        <v>2</v>
      </c>
      <c r="Y478" s="900">
        <v>2</v>
      </c>
      <c r="Z478" s="900">
        <v>2</v>
      </c>
      <c r="AA478" s="998">
        <f>SUM(W478,X478,Y478,Z478)</f>
        <v>8</v>
      </c>
      <c r="AB478" s="900">
        <v>2</v>
      </c>
      <c r="AC478" s="900">
        <v>2</v>
      </c>
      <c r="AD478" s="900">
        <v>2</v>
      </c>
      <c r="AE478" s="900">
        <v>2</v>
      </c>
      <c r="AF478" s="998">
        <f>SUM(AB478,AC478,AD478,AE478)</f>
        <v>8</v>
      </c>
      <c r="AG478" s="900">
        <v>2</v>
      </c>
      <c r="AH478" s="900">
        <v>2</v>
      </c>
      <c r="AI478" s="900">
        <v>2</v>
      </c>
      <c r="AJ478" s="900">
        <v>2</v>
      </c>
      <c r="AK478" s="998">
        <f>SUM(AG478,AH478,AI478,AJ478)</f>
        <v>8</v>
      </c>
      <c r="AL478" s="900">
        <v>2</v>
      </c>
      <c r="AM478" s="900">
        <v>2</v>
      </c>
      <c r="AN478" s="115"/>
      <c r="AO478" s="115"/>
      <c r="AP478" s="995"/>
      <c r="AQ478" s="115"/>
      <c r="AR478" s="115"/>
      <c r="AS478" s="115"/>
      <c r="AT478" s="115"/>
      <c r="AU478" s="995"/>
      <c r="AV478" s="115"/>
      <c r="AW478" s="115"/>
      <c r="AX478" s="115"/>
      <c r="AY478" s="115"/>
      <c r="AZ478" s="995"/>
      <c r="BA478" s="115"/>
      <c r="BB478" s="115"/>
      <c r="BC478" s="115"/>
      <c r="BD478" s="115"/>
      <c r="BE478" s="995"/>
      <c r="BF478" s="115"/>
      <c r="BG478" s="115"/>
      <c r="BH478" s="641"/>
      <c r="BI478" s="115"/>
      <c r="BJ478" s="995"/>
      <c r="BK478" s="115"/>
      <c r="BL478" s="115"/>
      <c r="BM478" s="115"/>
      <c r="BN478" s="115"/>
      <c r="BO478" s="995"/>
      <c r="BP478" s="995"/>
      <c r="BQ478" s="995"/>
      <c r="BR478" s="995"/>
      <c r="BS478" s="305"/>
    </row>
    <row r="479" spans="1:71" s="51" customFormat="1" ht="15" hidden="1" outlineLevel="2">
      <c r="A479" s="109" t="s">
        <v>492</v>
      </c>
      <c r="B479" s="391"/>
      <c r="C479" s="1000"/>
      <c r="D479" s="1000"/>
      <c r="E479" s="1000"/>
      <c r="F479" s="999">
        <f t="shared" si="1455" ref="F479">SUM(F476:F478)</f>
        <v>967</v>
      </c>
      <c r="G479" s="999">
        <f t="shared" si="1456" ref="G479">SUM(G476:G478)</f>
        <v>1247</v>
      </c>
      <c r="H479" s="57">
        <f t="shared" si="1457" ref="H479">SUM(H476:H478)</f>
        <v>343</v>
      </c>
      <c r="I479" s="57">
        <f t="shared" si="1458" ref="I479">SUM(I476:I478)</f>
        <v>366</v>
      </c>
      <c r="J479" s="57">
        <f t="shared" si="1459" ref="J479">SUM(J476:J478)</f>
        <v>373</v>
      </c>
      <c r="K479" s="57">
        <f t="shared" si="1460" ref="K479:L479">SUM(K476:K478)</f>
        <v>381</v>
      </c>
      <c r="L479" s="999">
        <f t="shared" si="1460"/>
        <v>1463</v>
      </c>
      <c r="M479" s="57">
        <f t="shared" si="1461" ref="M479">SUM(M476:M478)</f>
        <v>387</v>
      </c>
      <c r="N479" s="57">
        <f t="shared" si="1462" ref="N479">SUM(N476:N478)</f>
        <v>402</v>
      </c>
      <c r="O479" s="57">
        <f t="shared" si="1463" ref="O479">SUM(O476:O478)</f>
        <v>399</v>
      </c>
      <c r="P479" s="57">
        <f t="shared" si="1464" ref="P479:Q479">SUM(P476:P478)</f>
        <v>400</v>
      </c>
      <c r="Q479" s="999">
        <f t="shared" si="1464"/>
        <v>1588</v>
      </c>
      <c r="R479" s="57">
        <f t="shared" si="1465" ref="R479">SUM(R476:R478)</f>
        <v>404</v>
      </c>
      <c r="S479" s="57">
        <f t="shared" si="1466" ref="S479">SUM(S476:S478)</f>
        <v>415</v>
      </c>
      <c r="T479" s="57">
        <f t="shared" si="1467" ref="T479">SUM(T476:T478)</f>
        <v>418</v>
      </c>
      <c r="U479" s="57">
        <f t="shared" si="1468" ref="U479">SUM(U476:U478)</f>
        <v>423</v>
      </c>
      <c r="V479" s="999">
        <f t="shared" si="1469" ref="V479">SUM(V476:V478)</f>
        <v>1660</v>
      </c>
      <c r="W479" s="57">
        <f t="shared" si="1470" ref="W479">SUM(W476:W478)</f>
        <v>419</v>
      </c>
      <c r="X479" s="57">
        <f t="shared" si="1471" ref="X479">SUM(X476:X478)</f>
        <v>429</v>
      </c>
      <c r="Y479" s="57">
        <f t="shared" si="1472" ref="Y479">SUM(Y476:Y478)</f>
        <v>432</v>
      </c>
      <c r="Z479" s="57">
        <f t="shared" si="1473" ref="Z479">SUM(Z476:Z478)</f>
        <v>432</v>
      </c>
      <c r="AA479" s="999">
        <f t="shared" si="1474" ref="AA479">SUM(AA476:AA478)</f>
        <v>1712</v>
      </c>
      <c r="AB479" s="57">
        <f t="shared" si="1475" ref="AB479">SUM(AB476:AB478)</f>
        <v>433</v>
      </c>
      <c r="AC479" s="57">
        <f t="shared" si="1476" ref="AC479">SUM(AC476:AC478)</f>
        <v>463</v>
      </c>
      <c r="AD479" s="57">
        <f t="shared" si="1477" ref="AD479">SUM(AD476:AD478)</f>
        <v>479</v>
      </c>
      <c r="AE479" s="57">
        <f t="shared" si="1478" ref="AE479">SUM(AE476:AE478)</f>
        <v>494</v>
      </c>
      <c r="AF479" s="999">
        <f t="shared" si="1479" ref="AF479:AK479">SUM(AF476:AF478)</f>
        <v>1869</v>
      </c>
      <c r="AG479" s="57">
        <f t="shared" si="1479"/>
        <v>502</v>
      </c>
      <c r="AH479" s="57">
        <f t="shared" si="1479"/>
        <v>525</v>
      </c>
      <c r="AI479" s="57">
        <f t="shared" si="1479"/>
        <v>528</v>
      </c>
      <c r="AJ479" s="57">
        <f t="shared" si="1479"/>
        <v>532</v>
      </c>
      <c r="AK479" s="999">
        <f t="shared" si="1479"/>
        <v>2087</v>
      </c>
      <c r="AL479" s="57">
        <f>SUM(AL476:AL478)</f>
        <v>519</v>
      </c>
      <c r="AM479" s="57">
        <f>SUM(AM476:AM478)</f>
        <v>523</v>
      </c>
      <c r="AN479" s="128"/>
      <c r="AO479" s="128"/>
      <c r="AP479" s="1000"/>
      <c r="AQ479" s="128"/>
      <c r="AR479" s="128"/>
      <c r="AS479" s="128"/>
      <c r="AT479" s="128"/>
      <c r="AU479" s="1000"/>
      <c r="AV479" s="128"/>
      <c r="AW479" s="128"/>
      <c r="AX479" s="128"/>
      <c r="AY479" s="128"/>
      <c r="AZ479" s="1000"/>
      <c r="BA479" s="128"/>
      <c r="BB479" s="128"/>
      <c r="BC479" s="128"/>
      <c r="BD479" s="128"/>
      <c r="BE479" s="1000"/>
      <c r="BF479" s="128"/>
      <c r="BG479" s="128"/>
      <c r="BH479" s="465"/>
      <c r="BI479" s="128"/>
      <c r="BJ479" s="1000"/>
      <c r="BK479" s="128"/>
      <c r="BL479" s="128"/>
      <c r="BM479" s="128"/>
      <c r="BN479" s="128"/>
      <c r="BO479" s="1000"/>
      <c r="BP479" s="1000"/>
      <c r="BQ479" s="1000"/>
      <c r="BR479" s="1000"/>
      <c r="BS479" s="57"/>
    </row>
    <row r="480" spans="1:71" s="300" customFormat="1" ht="15" hidden="1" outlineLevel="2">
      <c r="A480" s="110" t="s">
        <v>493</v>
      </c>
      <c r="B480" s="113"/>
      <c r="C480" s="995"/>
      <c r="D480" s="995"/>
      <c r="E480" s="995"/>
      <c r="F480" s="995"/>
      <c r="G480" s="995"/>
      <c r="H480" s="115"/>
      <c r="I480" s="115"/>
      <c r="J480" s="115"/>
      <c r="K480" s="115"/>
      <c r="L480" s="998">
        <f>SUM(H480,I480,J480,K480)</f>
        <v>0</v>
      </c>
      <c r="M480" s="115"/>
      <c r="N480" s="115"/>
      <c r="O480" s="115"/>
      <c r="P480" s="115"/>
      <c r="Q480" s="998">
        <f>SUM(M480,N480,O480,P480)</f>
        <v>0</v>
      </c>
      <c r="R480" s="115"/>
      <c r="S480" s="115"/>
      <c r="T480" s="115"/>
      <c r="U480" s="115"/>
      <c r="V480" s="998">
        <f>SUM(R480,S480,T480,U480)</f>
        <v>0</v>
      </c>
      <c r="W480" s="900">
        <v>16</v>
      </c>
      <c r="X480" s="900">
        <v>17</v>
      </c>
      <c r="Y480" s="900">
        <v>17</v>
      </c>
      <c r="Z480" s="900">
        <v>17</v>
      </c>
      <c r="AA480" s="998">
        <f>SUM(W480,X480,Y480,Z480)</f>
        <v>67</v>
      </c>
      <c r="AB480" s="900">
        <v>20</v>
      </c>
      <c r="AC480" s="900">
        <v>20</v>
      </c>
      <c r="AD480" s="900">
        <v>21</v>
      </c>
      <c r="AE480" s="900">
        <v>19</v>
      </c>
      <c r="AF480" s="998">
        <f>SUM(AB480,AC480,AD480,AE480)</f>
        <v>80</v>
      </c>
      <c r="AG480" s="900">
        <v>20</v>
      </c>
      <c r="AH480" s="900">
        <v>20</v>
      </c>
      <c r="AI480" s="900">
        <v>23</v>
      </c>
      <c r="AJ480" s="900">
        <v>20</v>
      </c>
      <c r="AK480" s="998">
        <f>SUM(AG480,AH480,AI480,AJ480)</f>
        <v>83</v>
      </c>
      <c r="AL480" s="900">
        <v>23</v>
      </c>
      <c r="AM480" s="900">
        <v>23</v>
      </c>
      <c r="AN480" s="115"/>
      <c r="AO480" s="115"/>
      <c r="AP480" s="995"/>
      <c r="AQ480" s="115"/>
      <c r="AR480" s="115"/>
      <c r="AS480" s="115"/>
      <c r="AT480" s="115"/>
      <c r="AU480" s="995"/>
      <c r="AV480" s="115"/>
      <c r="AW480" s="115"/>
      <c r="AX480" s="115"/>
      <c r="AY480" s="115"/>
      <c r="AZ480" s="995"/>
      <c r="BA480" s="115"/>
      <c r="BB480" s="115"/>
      <c r="BC480" s="115"/>
      <c r="BD480" s="115"/>
      <c r="BE480" s="995"/>
      <c r="BF480" s="115"/>
      <c r="BG480" s="115"/>
      <c r="BH480" s="641"/>
      <c r="BI480" s="115"/>
      <c r="BJ480" s="995"/>
      <c r="BK480" s="115"/>
      <c r="BL480" s="115"/>
      <c r="BM480" s="115"/>
      <c r="BN480" s="115"/>
      <c r="BO480" s="995"/>
      <c r="BP480" s="995"/>
      <c r="BQ480" s="995"/>
      <c r="BR480" s="995"/>
      <c r="BS480" s="305"/>
    </row>
    <row r="481" spans="1:71" s="51" customFormat="1" ht="15" hidden="1" outlineLevel="2">
      <c r="A481" s="109" t="s">
        <v>494</v>
      </c>
      <c r="B481" s="391"/>
      <c r="C481" s="1000"/>
      <c r="D481" s="1000"/>
      <c r="E481" s="1000"/>
      <c r="F481" s="999">
        <f t="shared" si="1480" ref="F481">SUM(F480)</f>
        <v>0</v>
      </c>
      <c r="G481" s="999">
        <f t="shared" si="1481" ref="G481">SUM(G480)</f>
        <v>0</v>
      </c>
      <c r="H481" s="57">
        <f t="shared" si="1482" ref="H481">SUM(H480)</f>
        <v>0</v>
      </c>
      <c r="I481" s="57">
        <f t="shared" si="1483" ref="I481">SUM(I480)</f>
        <v>0</v>
      </c>
      <c r="J481" s="57">
        <f t="shared" si="1484" ref="J481">SUM(J480)</f>
        <v>0</v>
      </c>
      <c r="K481" s="57">
        <f t="shared" si="1485" ref="K481:L481">SUM(K480)</f>
        <v>0</v>
      </c>
      <c r="L481" s="999">
        <f t="shared" si="1485"/>
        <v>0</v>
      </c>
      <c r="M481" s="57">
        <f t="shared" si="1486" ref="M481">SUM(M480)</f>
        <v>0</v>
      </c>
      <c r="N481" s="57">
        <f t="shared" si="1487" ref="N481">SUM(N480)</f>
        <v>0</v>
      </c>
      <c r="O481" s="57">
        <f t="shared" si="1488" ref="O481">SUM(O480)</f>
        <v>0</v>
      </c>
      <c r="P481" s="57">
        <f t="shared" si="1489" ref="P481:Q481">SUM(P480)</f>
        <v>0</v>
      </c>
      <c r="Q481" s="999">
        <f t="shared" si="1489"/>
        <v>0</v>
      </c>
      <c r="R481" s="57">
        <f t="shared" si="1490" ref="R481">SUM(R480)</f>
        <v>0</v>
      </c>
      <c r="S481" s="57">
        <f t="shared" si="1491" ref="S481">SUM(S480)</f>
        <v>0</v>
      </c>
      <c r="T481" s="57">
        <f t="shared" si="1492" ref="T481">SUM(T480)</f>
        <v>0</v>
      </c>
      <c r="U481" s="57">
        <f t="shared" si="1493" ref="U481">SUM(U480)</f>
        <v>0</v>
      </c>
      <c r="V481" s="999">
        <f t="shared" si="1494" ref="V481">SUM(V480)</f>
        <v>0</v>
      </c>
      <c r="W481" s="57">
        <f t="shared" si="1495" ref="W481">SUM(W480)</f>
        <v>16</v>
      </c>
      <c r="X481" s="57">
        <f t="shared" si="1496" ref="X481">SUM(X480)</f>
        <v>17</v>
      </c>
      <c r="Y481" s="57">
        <f t="shared" si="1497" ref="Y481">SUM(Y480)</f>
        <v>17</v>
      </c>
      <c r="Z481" s="57">
        <f t="shared" si="1498" ref="Z481">SUM(Z480)</f>
        <v>17</v>
      </c>
      <c r="AA481" s="999">
        <f t="shared" si="1499" ref="AA481">SUM(AA480)</f>
        <v>67</v>
      </c>
      <c r="AB481" s="57">
        <f t="shared" si="1500" ref="AB481">SUM(AB480)</f>
        <v>20</v>
      </c>
      <c r="AC481" s="57">
        <f t="shared" si="1501" ref="AC481">SUM(AC480)</f>
        <v>20</v>
      </c>
      <c r="AD481" s="57">
        <f t="shared" si="1502" ref="AD481">SUM(AD480)</f>
        <v>21</v>
      </c>
      <c r="AE481" s="57">
        <f t="shared" si="1503" ref="AE481">SUM(AE480)</f>
        <v>19</v>
      </c>
      <c r="AF481" s="999">
        <f t="shared" si="1504" ref="AF481:AL481">SUM(AF480)</f>
        <v>80</v>
      </c>
      <c r="AG481" s="57">
        <f>SUM(AG480)</f>
        <v>20</v>
      </c>
      <c r="AH481" s="57">
        <f t="shared" si="1504"/>
        <v>20</v>
      </c>
      <c r="AI481" s="57">
        <f t="shared" si="1504"/>
        <v>23</v>
      </c>
      <c r="AJ481" s="57">
        <f t="shared" si="1504"/>
        <v>20</v>
      </c>
      <c r="AK481" s="999">
        <f t="shared" si="1504"/>
        <v>83</v>
      </c>
      <c r="AL481" s="57">
        <f t="shared" si="1504"/>
        <v>23</v>
      </c>
      <c r="AM481" s="57">
        <f>SUM(AM480)</f>
        <v>23</v>
      </c>
      <c r="AN481" s="128"/>
      <c r="AO481" s="128"/>
      <c r="AP481" s="1000"/>
      <c r="AQ481" s="128"/>
      <c r="AR481" s="128"/>
      <c r="AS481" s="128"/>
      <c r="AT481" s="128"/>
      <c r="AU481" s="1000"/>
      <c r="AV481" s="128"/>
      <c r="AW481" s="128"/>
      <c r="AX481" s="128"/>
      <c r="AY481" s="128"/>
      <c r="AZ481" s="1000"/>
      <c r="BA481" s="128"/>
      <c r="BB481" s="128"/>
      <c r="BC481" s="128"/>
      <c r="BD481" s="128"/>
      <c r="BE481" s="1000"/>
      <c r="BF481" s="128"/>
      <c r="BG481" s="128"/>
      <c r="BH481" s="465"/>
      <c r="BI481" s="128"/>
      <c r="BJ481" s="1000"/>
      <c r="BK481" s="128"/>
      <c r="BL481" s="128"/>
      <c r="BM481" s="128"/>
      <c r="BN481" s="128"/>
      <c r="BO481" s="1000"/>
      <c r="BP481" s="1000"/>
      <c r="BQ481" s="1000"/>
      <c r="BR481" s="1000"/>
      <c r="BS481" s="57"/>
    </row>
    <row r="482" spans="1:71" s="300" customFormat="1" ht="15" hidden="1" outlineLevel="2">
      <c r="A482" s="304" t="s">
        <v>495</v>
      </c>
      <c r="B482" s="233"/>
      <c r="C482" s="989"/>
      <c r="D482" s="989"/>
      <c r="E482" s="989"/>
      <c r="F482" s="988">
        <v>746</v>
      </c>
      <c r="G482" s="988">
        <v>978</v>
      </c>
      <c r="H482" s="897">
        <v>260</v>
      </c>
      <c r="I482" s="897">
        <v>275</v>
      </c>
      <c r="J482" s="897">
        <v>283</v>
      </c>
      <c r="K482" s="897">
        <v>300</v>
      </c>
      <c r="L482" s="993">
        <f>SUM(H482,I482,J482,K482)</f>
        <v>1118</v>
      </c>
      <c r="M482" s="897">
        <v>297</v>
      </c>
      <c r="N482" s="897">
        <v>300</v>
      </c>
      <c r="O482" s="897">
        <v>285</v>
      </c>
      <c r="P482" s="897">
        <v>294</v>
      </c>
      <c r="Q482" s="993">
        <f>SUM(M482,N482,O482,P482)</f>
        <v>1176</v>
      </c>
      <c r="R482" s="897">
        <v>289</v>
      </c>
      <c r="S482" s="897">
        <v>308</v>
      </c>
      <c r="T482" s="897">
        <v>313</v>
      </c>
      <c r="U482" s="897">
        <v>310</v>
      </c>
      <c r="V482" s="993">
        <f>SUM(R482,S482,T482,U482)</f>
        <v>1220</v>
      </c>
      <c r="W482" s="897">
        <v>300</v>
      </c>
      <c r="X482" s="897">
        <v>324</v>
      </c>
      <c r="Y482" s="897">
        <v>322</v>
      </c>
      <c r="Z482" s="897">
        <v>322</v>
      </c>
      <c r="AA482" s="993">
        <f>SUM(W482,X482,Y482,Z482)</f>
        <v>1268</v>
      </c>
      <c r="AB482" s="897">
        <v>309</v>
      </c>
      <c r="AC482" s="897">
        <v>334</v>
      </c>
      <c r="AD482" s="897">
        <v>346</v>
      </c>
      <c r="AE482" s="897">
        <v>374</v>
      </c>
      <c r="AF482" s="993">
        <f>SUM(AB482,AC482,AD482,AE482)</f>
        <v>1363</v>
      </c>
      <c r="AG482" s="897">
        <v>367</v>
      </c>
      <c r="AH482" s="897">
        <v>387</v>
      </c>
      <c r="AI482" s="897">
        <v>404</v>
      </c>
      <c r="AJ482" s="897">
        <v>405</v>
      </c>
      <c r="AK482" s="993">
        <f>SUM(AG482,AH482,AI482,AJ482)</f>
        <v>1563</v>
      </c>
      <c r="AL482" s="897">
        <v>359</v>
      </c>
      <c r="AM482" s="897">
        <v>272</v>
      </c>
      <c r="AN482" s="92"/>
      <c r="AO482" s="92"/>
      <c r="AP482" s="989"/>
      <c r="AQ482" s="92"/>
      <c r="AR482" s="92"/>
      <c r="AS482" s="92"/>
      <c r="AT482" s="92"/>
      <c r="AU482" s="989"/>
      <c r="AV482" s="92"/>
      <c r="AW482" s="92"/>
      <c r="AX482" s="92"/>
      <c r="AY482" s="92"/>
      <c r="AZ482" s="989"/>
      <c r="BA482" s="92"/>
      <c r="BB482" s="92"/>
      <c r="BC482" s="92"/>
      <c r="BD482" s="92"/>
      <c r="BE482" s="989"/>
      <c r="BF482" s="92"/>
      <c r="BG482" s="92"/>
      <c r="BH482" s="464"/>
      <c r="BI482" s="92"/>
      <c r="BJ482" s="989"/>
      <c r="BK482" s="92"/>
      <c r="BL482" s="92"/>
      <c r="BM482" s="92"/>
      <c r="BN482" s="92"/>
      <c r="BO482" s="989"/>
      <c r="BP482" s="989"/>
      <c r="BQ482" s="989"/>
      <c r="BR482" s="989"/>
      <c r="BS482" s="305"/>
    </row>
    <row r="483" spans="1:71" s="300" customFormat="1" ht="15" hidden="1" outlineLevel="2">
      <c r="A483" s="304" t="s">
        <v>496</v>
      </c>
      <c r="B483" s="233"/>
      <c r="C483" s="989"/>
      <c r="D483" s="989"/>
      <c r="E483" s="989"/>
      <c r="F483" s="988">
        <v>0</v>
      </c>
      <c r="G483" s="988">
        <v>0</v>
      </c>
      <c r="H483" s="897">
        <v>0</v>
      </c>
      <c r="I483" s="897">
        <v>0</v>
      </c>
      <c r="J483" s="897">
        <v>1</v>
      </c>
      <c r="K483" s="897">
        <v>1</v>
      </c>
      <c r="L483" s="993">
        <f>SUM(H483,I483,J483,K483)</f>
        <v>2</v>
      </c>
      <c r="M483" s="897">
        <v>1</v>
      </c>
      <c r="N483" s="897">
        <v>3</v>
      </c>
      <c r="O483" s="897">
        <v>4</v>
      </c>
      <c r="P483" s="897">
        <v>4</v>
      </c>
      <c r="Q483" s="993">
        <f>SUM(M483,N483,O483,P483)</f>
        <v>12</v>
      </c>
      <c r="R483" s="897">
        <v>4</v>
      </c>
      <c r="S483" s="897">
        <v>10</v>
      </c>
      <c r="T483" s="897">
        <v>11</v>
      </c>
      <c r="U483" s="897">
        <v>8</v>
      </c>
      <c r="V483" s="993">
        <f>SUM(R483,S483,T483,U483)</f>
        <v>33</v>
      </c>
      <c r="W483" s="897">
        <v>13</v>
      </c>
      <c r="X483" s="897">
        <v>21</v>
      </c>
      <c r="Y483" s="897">
        <v>14</v>
      </c>
      <c r="Z483" s="897">
        <v>9</v>
      </c>
      <c r="AA483" s="993">
        <f>SUM(W483,X483,Y483,Z483)</f>
        <v>57</v>
      </c>
      <c r="AB483" s="897">
        <v>11</v>
      </c>
      <c r="AC483" s="897">
        <v>28</v>
      </c>
      <c r="AD483" s="897">
        <v>20</v>
      </c>
      <c r="AE483" s="897">
        <v>16</v>
      </c>
      <c r="AF483" s="993">
        <f>SUM(AB483,AC483,AD483,AE483)</f>
        <v>75</v>
      </c>
      <c r="AG483" s="897">
        <v>15</v>
      </c>
      <c r="AH483" s="897">
        <v>31</v>
      </c>
      <c r="AI483" s="897">
        <v>20</v>
      </c>
      <c r="AJ483" s="897">
        <v>16</v>
      </c>
      <c r="AK483" s="993">
        <f>SUM(AG483,AH483,AI483,AJ483)</f>
        <v>82</v>
      </c>
      <c r="AL483" s="897">
        <v>13</v>
      </c>
      <c r="AM483" s="897">
        <v>25</v>
      </c>
      <c r="AN483" s="92"/>
      <c r="AO483" s="92"/>
      <c r="AP483" s="989"/>
      <c r="AQ483" s="92"/>
      <c r="AR483" s="92"/>
      <c r="AS483" s="92"/>
      <c r="AT483" s="92"/>
      <c r="AU483" s="989"/>
      <c r="AV483" s="92"/>
      <c r="AW483" s="92"/>
      <c r="AX483" s="92"/>
      <c r="AY483" s="92"/>
      <c r="AZ483" s="989"/>
      <c r="BA483" s="92"/>
      <c r="BB483" s="92"/>
      <c r="BC483" s="92"/>
      <c r="BD483" s="92"/>
      <c r="BE483" s="989"/>
      <c r="BF483" s="92"/>
      <c r="BG483" s="92"/>
      <c r="BH483" s="464"/>
      <c r="BI483" s="92"/>
      <c r="BJ483" s="989"/>
      <c r="BK483" s="92"/>
      <c r="BL483" s="92"/>
      <c r="BM483" s="92"/>
      <c r="BN483" s="92"/>
      <c r="BO483" s="989"/>
      <c r="BP483" s="989"/>
      <c r="BQ483" s="989"/>
      <c r="BR483" s="989"/>
      <c r="BS483" s="305"/>
    </row>
    <row r="484" spans="1:71" s="300" customFormat="1" ht="15" hidden="1" outlineLevel="2">
      <c r="A484" s="110" t="s">
        <v>497</v>
      </c>
      <c r="B484" s="113"/>
      <c r="C484" s="995"/>
      <c r="D484" s="995"/>
      <c r="E484" s="995"/>
      <c r="F484" s="990">
        <v>0</v>
      </c>
      <c r="G484" s="990">
        <v>1</v>
      </c>
      <c r="H484" s="900">
        <v>0</v>
      </c>
      <c r="I484" s="900">
        <v>1</v>
      </c>
      <c r="J484" s="900">
        <v>1</v>
      </c>
      <c r="K484" s="900">
        <v>1</v>
      </c>
      <c r="L484" s="998">
        <f>SUM(H484,I484,J484,K484)</f>
        <v>3</v>
      </c>
      <c r="M484" s="900">
        <v>1</v>
      </c>
      <c r="N484" s="900">
        <v>1</v>
      </c>
      <c r="O484" s="900">
        <v>1</v>
      </c>
      <c r="P484" s="900">
        <v>1</v>
      </c>
      <c r="Q484" s="998">
        <f>SUM(M484,N484,O484,P484)</f>
        <v>4</v>
      </c>
      <c r="R484" s="900">
        <v>1</v>
      </c>
      <c r="S484" s="900">
        <v>1</v>
      </c>
      <c r="T484" s="900">
        <v>2</v>
      </c>
      <c r="U484" s="900">
        <v>1</v>
      </c>
      <c r="V484" s="998">
        <f>SUM(R484,S484,T484,U484)</f>
        <v>5</v>
      </c>
      <c r="W484" s="900">
        <v>1</v>
      </c>
      <c r="X484" s="900">
        <v>1</v>
      </c>
      <c r="Y484" s="900">
        <v>1</v>
      </c>
      <c r="Z484" s="900">
        <v>1</v>
      </c>
      <c r="AA484" s="998">
        <f>SUM(W484,X484,Y484,Z484)</f>
        <v>4</v>
      </c>
      <c r="AB484" s="900">
        <v>1</v>
      </c>
      <c r="AC484" s="900">
        <v>2</v>
      </c>
      <c r="AD484" s="900">
        <v>0</v>
      </c>
      <c r="AE484" s="900">
        <v>2</v>
      </c>
      <c r="AF484" s="998">
        <f>SUM(AB484,AC484,AD484,AE484)</f>
        <v>5</v>
      </c>
      <c r="AG484" s="900">
        <v>2</v>
      </c>
      <c r="AH484" s="900">
        <v>1</v>
      </c>
      <c r="AI484" s="900">
        <v>0</v>
      </c>
      <c r="AJ484" s="900">
        <v>2</v>
      </c>
      <c r="AK484" s="998">
        <f>SUM(AG484,AH484,AI484,AJ484)</f>
        <v>5</v>
      </c>
      <c r="AL484" s="900">
        <v>1</v>
      </c>
      <c r="AM484" s="900">
        <v>1</v>
      </c>
      <c r="AN484" s="115"/>
      <c r="AO484" s="115"/>
      <c r="AP484" s="995"/>
      <c r="AQ484" s="115"/>
      <c r="AR484" s="115"/>
      <c r="AS484" s="115"/>
      <c r="AT484" s="115"/>
      <c r="AU484" s="995"/>
      <c r="AV484" s="115"/>
      <c r="AW484" s="115"/>
      <c r="AX484" s="115"/>
      <c r="AY484" s="115"/>
      <c r="AZ484" s="995"/>
      <c r="BA484" s="115"/>
      <c r="BB484" s="115"/>
      <c r="BC484" s="115"/>
      <c r="BD484" s="115"/>
      <c r="BE484" s="995"/>
      <c r="BF484" s="115"/>
      <c r="BG484" s="115"/>
      <c r="BH484" s="641"/>
      <c r="BI484" s="115"/>
      <c r="BJ484" s="995"/>
      <c r="BK484" s="115"/>
      <c r="BL484" s="115"/>
      <c r="BM484" s="115"/>
      <c r="BN484" s="115"/>
      <c r="BO484" s="995"/>
      <c r="BP484" s="995"/>
      <c r="BQ484" s="995"/>
      <c r="BR484" s="995"/>
      <c r="BS484" s="305"/>
    </row>
    <row r="485" spans="1:71" s="51" customFormat="1" ht="15" hidden="1" outlineLevel="2">
      <c r="A485" s="109" t="s">
        <v>498</v>
      </c>
      <c r="B485" s="391"/>
      <c r="C485" s="1000"/>
      <c r="D485" s="1000"/>
      <c r="E485" s="1000"/>
      <c r="F485" s="999">
        <f t="shared" si="1505" ref="F485">SUM(F482:F484)</f>
        <v>746</v>
      </c>
      <c r="G485" s="999">
        <f t="shared" si="1506" ref="G485">SUM(G482:G484)</f>
        <v>979</v>
      </c>
      <c r="H485" s="57">
        <f t="shared" si="1507" ref="H485">SUM(H482:H484)</f>
        <v>260</v>
      </c>
      <c r="I485" s="57">
        <f t="shared" si="1508" ref="I485">SUM(I482:I484)</f>
        <v>276</v>
      </c>
      <c r="J485" s="57">
        <f t="shared" si="1509" ref="J485">SUM(J482:J484)</f>
        <v>285</v>
      </c>
      <c r="K485" s="57">
        <f t="shared" si="1510" ref="K485:L485">SUM(K482:K484)</f>
        <v>302</v>
      </c>
      <c r="L485" s="999">
        <f t="shared" si="1510"/>
        <v>1123</v>
      </c>
      <c r="M485" s="57">
        <f t="shared" si="1511" ref="M485">SUM(M482:M484)</f>
        <v>299</v>
      </c>
      <c r="N485" s="57">
        <f t="shared" si="1512" ref="N485">SUM(N482:N484)</f>
        <v>304</v>
      </c>
      <c r="O485" s="57">
        <f t="shared" si="1513" ref="O485">SUM(O482:O484)</f>
        <v>290</v>
      </c>
      <c r="P485" s="57">
        <f t="shared" si="1514" ref="P485:Q485">SUM(P482:P484)</f>
        <v>299</v>
      </c>
      <c r="Q485" s="999">
        <f t="shared" si="1514"/>
        <v>1192</v>
      </c>
      <c r="R485" s="57">
        <f t="shared" si="1515" ref="R485">SUM(R482:R484)</f>
        <v>294</v>
      </c>
      <c r="S485" s="57">
        <f t="shared" si="1516" ref="S485">SUM(S482:S484)</f>
        <v>319</v>
      </c>
      <c r="T485" s="57">
        <f t="shared" si="1517" ref="T485">SUM(T482:T484)</f>
        <v>326</v>
      </c>
      <c r="U485" s="57">
        <f t="shared" si="1518" ref="U485">SUM(U482:U484)</f>
        <v>319</v>
      </c>
      <c r="V485" s="999">
        <f t="shared" si="1519" ref="V485">SUM(V482:V484)</f>
        <v>1258</v>
      </c>
      <c r="W485" s="57">
        <f t="shared" si="1520" ref="W485">SUM(W482:W484)</f>
        <v>314</v>
      </c>
      <c r="X485" s="57">
        <f t="shared" si="1521" ref="X485">SUM(X482:X484)</f>
        <v>346</v>
      </c>
      <c r="Y485" s="57">
        <f t="shared" si="1522" ref="Y485">SUM(Y482:Y484)</f>
        <v>337</v>
      </c>
      <c r="Z485" s="57">
        <f t="shared" si="1523" ref="Z485">SUM(Z482:Z484)</f>
        <v>332</v>
      </c>
      <c r="AA485" s="999">
        <f t="shared" si="1524" ref="AA485">SUM(AA482:AA484)</f>
        <v>1329</v>
      </c>
      <c r="AB485" s="57">
        <f t="shared" si="1525" ref="AB485">SUM(AB482:AB484)</f>
        <v>321</v>
      </c>
      <c r="AC485" s="57">
        <f t="shared" si="1526" ref="AC485">SUM(AC482:AC484)</f>
        <v>364</v>
      </c>
      <c r="AD485" s="57">
        <f t="shared" si="1527" ref="AD485">SUM(AD482:AD484)</f>
        <v>366</v>
      </c>
      <c r="AE485" s="57">
        <f t="shared" si="1528" ref="AE485">SUM(AE482:AE484)</f>
        <v>392</v>
      </c>
      <c r="AF485" s="999">
        <f t="shared" si="1529" ref="AF485:AK485">SUM(AF482:AF484)</f>
        <v>1443</v>
      </c>
      <c r="AG485" s="57">
        <f t="shared" si="1529"/>
        <v>384</v>
      </c>
      <c r="AH485" s="57">
        <f t="shared" si="1529"/>
        <v>419</v>
      </c>
      <c r="AI485" s="57">
        <f t="shared" si="1529"/>
        <v>424</v>
      </c>
      <c r="AJ485" s="57">
        <f t="shared" si="1529"/>
        <v>423</v>
      </c>
      <c r="AK485" s="999">
        <f t="shared" si="1529"/>
        <v>1650</v>
      </c>
      <c r="AL485" s="57">
        <f>SUM(AL482:AL484)</f>
        <v>373</v>
      </c>
      <c r="AM485" s="57">
        <f>SUM(AM482:AM484)</f>
        <v>298</v>
      </c>
      <c r="AN485" s="128"/>
      <c r="AO485" s="128"/>
      <c r="AP485" s="1000"/>
      <c r="AQ485" s="128"/>
      <c r="AR485" s="128"/>
      <c r="AS485" s="128"/>
      <c r="AT485" s="128"/>
      <c r="AU485" s="1000"/>
      <c r="AV485" s="128"/>
      <c r="AW485" s="128"/>
      <c r="AX485" s="128"/>
      <c r="AY485" s="128"/>
      <c r="AZ485" s="1000"/>
      <c r="BA485" s="128"/>
      <c r="BB485" s="128"/>
      <c r="BC485" s="128"/>
      <c r="BD485" s="128"/>
      <c r="BE485" s="1000"/>
      <c r="BF485" s="128"/>
      <c r="BG485" s="128"/>
      <c r="BH485" s="465"/>
      <c r="BI485" s="128"/>
      <c r="BJ485" s="1000"/>
      <c r="BK485" s="128"/>
      <c r="BL485" s="128"/>
      <c r="BM485" s="128"/>
      <c r="BN485" s="128"/>
      <c r="BO485" s="1000"/>
      <c r="BP485" s="1000"/>
      <c r="BQ485" s="1000"/>
      <c r="BR485" s="1000"/>
      <c r="BS485" s="57"/>
    </row>
    <row r="486" spans="1:71" s="300" customFormat="1" ht="15" hidden="1" outlineLevel="2">
      <c r="A486" s="304" t="s">
        <v>499</v>
      </c>
      <c r="B486" s="233"/>
      <c r="C486" s="989"/>
      <c r="D486" s="989"/>
      <c r="E486" s="989"/>
      <c r="F486" s="988">
        <v>413</v>
      </c>
      <c r="G486" s="988">
        <v>483</v>
      </c>
      <c r="H486" s="897">
        <v>174</v>
      </c>
      <c r="I486" s="897">
        <v>135</v>
      </c>
      <c r="J486" s="897">
        <v>148</v>
      </c>
      <c r="K486" s="897">
        <v>136</v>
      </c>
      <c r="L486" s="993">
        <f>SUM(H486,I486,J486,K486)</f>
        <v>593</v>
      </c>
      <c r="M486" s="897">
        <v>155</v>
      </c>
      <c r="N486" s="897">
        <v>132</v>
      </c>
      <c r="O486" s="897">
        <v>125</v>
      </c>
      <c r="P486" s="897">
        <v>119</v>
      </c>
      <c r="Q486" s="993">
        <f>SUM(M486,N486,O486,P486)</f>
        <v>531</v>
      </c>
      <c r="R486" s="897">
        <v>123</v>
      </c>
      <c r="S486" s="897">
        <v>107</v>
      </c>
      <c r="T486" s="897">
        <v>111</v>
      </c>
      <c r="U486" s="897">
        <v>114</v>
      </c>
      <c r="V486" s="993">
        <f>SUM(R486,S486,T486,U486)</f>
        <v>455</v>
      </c>
      <c r="W486" s="897">
        <v>123</v>
      </c>
      <c r="X486" s="897">
        <v>117</v>
      </c>
      <c r="Y486" s="897">
        <v>121</v>
      </c>
      <c r="Z486" s="897">
        <v>111</v>
      </c>
      <c r="AA486" s="993">
        <f>SUM(W486,X486,Y486,Z486)</f>
        <v>472</v>
      </c>
      <c r="AB486" s="897">
        <v>121</v>
      </c>
      <c r="AC486" s="897">
        <v>120</v>
      </c>
      <c r="AD486" s="897">
        <v>135</v>
      </c>
      <c r="AE486" s="897">
        <v>123</v>
      </c>
      <c r="AF486" s="993">
        <f>SUM(AB486,AC486,AD486,AE486)</f>
        <v>499</v>
      </c>
      <c r="AG486" s="897">
        <v>129</v>
      </c>
      <c r="AH486" s="897">
        <v>121</v>
      </c>
      <c r="AI486" s="897">
        <v>126</v>
      </c>
      <c r="AJ486" s="897">
        <v>160</v>
      </c>
      <c r="AK486" s="993">
        <f>SUM(AG486,AH486,AI486,AJ486)</f>
        <v>536</v>
      </c>
      <c r="AL486" s="897">
        <v>145</v>
      </c>
      <c r="AM486" s="897">
        <v>169</v>
      </c>
      <c r="AN486" s="92"/>
      <c r="AO486" s="92"/>
      <c r="AP486" s="989"/>
      <c r="AQ486" s="92"/>
      <c r="AR486" s="92"/>
      <c r="AS486" s="92"/>
      <c r="AT486" s="92"/>
      <c r="AU486" s="989"/>
      <c r="AV486" s="92"/>
      <c r="AW486" s="92"/>
      <c r="AX486" s="92"/>
      <c r="AY486" s="92"/>
      <c r="AZ486" s="989"/>
      <c r="BA486" s="92"/>
      <c r="BB486" s="92"/>
      <c r="BC486" s="92"/>
      <c r="BD486" s="92"/>
      <c r="BE486" s="989"/>
      <c r="BF486" s="92"/>
      <c r="BG486" s="92"/>
      <c r="BH486" s="464"/>
      <c r="BI486" s="92"/>
      <c r="BJ486" s="989"/>
      <c r="BK486" s="92"/>
      <c r="BL486" s="92"/>
      <c r="BM486" s="92"/>
      <c r="BN486" s="92"/>
      <c r="BO486" s="989"/>
      <c r="BP486" s="989"/>
      <c r="BQ486" s="989"/>
      <c r="BR486" s="989"/>
      <c r="BS486" s="305"/>
    </row>
    <row r="487" spans="1:71" s="300" customFormat="1" ht="15" hidden="1" outlineLevel="2">
      <c r="A487" s="304" t="s">
        <v>500</v>
      </c>
      <c r="B487" s="233"/>
      <c r="C487" s="989"/>
      <c r="D487" s="989"/>
      <c r="E487" s="989"/>
      <c r="F487" s="988">
        <v>0</v>
      </c>
      <c r="G487" s="988">
        <v>0</v>
      </c>
      <c r="H487" s="897">
        <v>0</v>
      </c>
      <c r="I487" s="897">
        <v>0</v>
      </c>
      <c r="J487" s="897">
        <v>0</v>
      </c>
      <c r="K487" s="897">
        <v>0</v>
      </c>
      <c r="L487" s="993">
        <f>SUM(H487,I487,J487,K487)</f>
        <v>0</v>
      </c>
      <c r="M487" s="897">
        <v>0</v>
      </c>
      <c r="N487" s="897">
        <v>7</v>
      </c>
      <c r="O487" s="897">
        <v>10</v>
      </c>
      <c r="P487" s="897">
        <v>9</v>
      </c>
      <c r="Q487" s="993">
        <f>SUM(M487,N487,O487,P487)</f>
        <v>26</v>
      </c>
      <c r="R487" s="897">
        <v>11</v>
      </c>
      <c r="S487" s="897">
        <v>25</v>
      </c>
      <c r="T487" s="897">
        <v>22</v>
      </c>
      <c r="U487" s="897">
        <v>10</v>
      </c>
      <c r="V487" s="993">
        <f>SUM(R487,S487,T487,U487)</f>
        <v>68</v>
      </c>
      <c r="W487" s="897">
        <v>8</v>
      </c>
      <c r="X487" s="897">
        <v>8</v>
      </c>
      <c r="Y487" s="897">
        <v>9</v>
      </c>
      <c r="Z487" s="897">
        <v>6</v>
      </c>
      <c r="AA487" s="993">
        <f>SUM(W487,X487,Y487,Z487)</f>
        <v>31</v>
      </c>
      <c r="AB487" s="897">
        <v>7</v>
      </c>
      <c r="AC487" s="897">
        <v>8</v>
      </c>
      <c r="AD487" s="897">
        <v>8</v>
      </c>
      <c r="AE487" s="897">
        <v>6</v>
      </c>
      <c r="AF487" s="993">
        <f>SUM(AB487,AC487,AD487,AE487)</f>
        <v>29</v>
      </c>
      <c r="AG487" s="897">
        <v>6</v>
      </c>
      <c r="AH487" s="897">
        <v>7</v>
      </c>
      <c r="AI487" s="897">
        <v>7</v>
      </c>
      <c r="AJ487" s="897">
        <v>6</v>
      </c>
      <c r="AK487" s="993">
        <f>SUM(AG487,AH487,AI487,AJ487)</f>
        <v>26</v>
      </c>
      <c r="AL487" s="897">
        <v>5</v>
      </c>
      <c r="AM487" s="897">
        <v>6</v>
      </c>
      <c r="AN487" s="92"/>
      <c r="AO487" s="92"/>
      <c r="AP487" s="989"/>
      <c r="AQ487" s="92"/>
      <c r="AR487" s="92"/>
      <c r="AS487" s="92"/>
      <c r="AT487" s="92"/>
      <c r="AU487" s="989"/>
      <c r="AV487" s="92"/>
      <c r="AW487" s="92"/>
      <c r="AX487" s="92"/>
      <c r="AY487" s="92"/>
      <c r="AZ487" s="989"/>
      <c r="BA487" s="92"/>
      <c r="BB487" s="92"/>
      <c r="BC487" s="92"/>
      <c r="BD487" s="92"/>
      <c r="BE487" s="989"/>
      <c r="BF487" s="92"/>
      <c r="BG487" s="92"/>
      <c r="BH487" s="464"/>
      <c r="BI487" s="92"/>
      <c r="BJ487" s="989"/>
      <c r="BK487" s="92"/>
      <c r="BL487" s="92"/>
      <c r="BM487" s="92"/>
      <c r="BN487" s="92"/>
      <c r="BO487" s="989"/>
      <c r="BP487" s="989"/>
      <c r="BQ487" s="989"/>
      <c r="BR487" s="989"/>
      <c r="BS487" s="305"/>
    </row>
    <row r="488" spans="1:71" s="300" customFormat="1" ht="15" hidden="1" outlineLevel="2">
      <c r="A488" s="110" t="s">
        <v>501</v>
      </c>
      <c r="B488" s="113"/>
      <c r="C488" s="995"/>
      <c r="D488" s="995"/>
      <c r="E488" s="995"/>
      <c r="F488" s="990">
        <v>0</v>
      </c>
      <c r="G488" s="990">
        <v>3</v>
      </c>
      <c r="H488" s="900">
        <v>2</v>
      </c>
      <c r="I488" s="900">
        <v>0</v>
      </c>
      <c r="J488" s="900">
        <v>2</v>
      </c>
      <c r="K488" s="900">
        <v>2</v>
      </c>
      <c r="L488" s="998">
        <f>SUM(H488,I488,J488,K488)</f>
        <v>6</v>
      </c>
      <c r="M488" s="900">
        <v>2</v>
      </c>
      <c r="N488" s="900">
        <v>0</v>
      </c>
      <c r="O488" s="900">
        <v>0</v>
      </c>
      <c r="P488" s="900">
        <v>1</v>
      </c>
      <c r="Q488" s="998">
        <f>SUM(M488,N488,O488,P488)</f>
        <v>3</v>
      </c>
      <c r="R488" s="900">
        <v>1</v>
      </c>
      <c r="S488" s="900">
        <v>1</v>
      </c>
      <c r="T488" s="900">
        <v>0</v>
      </c>
      <c r="U488" s="900">
        <v>1</v>
      </c>
      <c r="V488" s="998">
        <f>SUM(R488,S488,T488,U488)</f>
        <v>3</v>
      </c>
      <c r="W488" s="900">
        <v>0</v>
      </c>
      <c r="X488" s="900">
        <v>1</v>
      </c>
      <c r="Y488" s="900">
        <v>1</v>
      </c>
      <c r="Z488" s="900">
        <v>1</v>
      </c>
      <c r="AA488" s="998">
        <f>SUM(W488,X488,Y488,Z488)</f>
        <v>3</v>
      </c>
      <c r="AB488" s="900">
        <v>1</v>
      </c>
      <c r="AC488" s="900">
        <v>0</v>
      </c>
      <c r="AD488" s="900">
        <v>1</v>
      </c>
      <c r="AE488" s="900">
        <v>1</v>
      </c>
      <c r="AF488" s="998">
        <f>SUM(AB488,AC488,AD488,AE488)</f>
        <v>3</v>
      </c>
      <c r="AG488" s="900">
        <v>0</v>
      </c>
      <c r="AH488" s="900">
        <v>1</v>
      </c>
      <c r="AI488" s="900">
        <v>0</v>
      </c>
      <c r="AJ488" s="900">
        <v>0</v>
      </c>
      <c r="AK488" s="998">
        <f>SUM(AG488,AH488,AI488,AJ488)</f>
        <v>1</v>
      </c>
      <c r="AL488" s="900">
        <v>0</v>
      </c>
      <c r="AM488" s="900">
        <v>1</v>
      </c>
      <c r="AN488" s="115"/>
      <c r="AO488" s="115"/>
      <c r="AP488" s="995"/>
      <c r="AQ488" s="115"/>
      <c r="AR488" s="115"/>
      <c r="AS488" s="115"/>
      <c r="AT488" s="115"/>
      <c r="AU488" s="995"/>
      <c r="AV488" s="115"/>
      <c r="AW488" s="115"/>
      <c r="AX488" s="115"/>
      <c r="AY488" s="115"/>
      <c r="AZ488" s="995"/>
      <c r="BA488" s="115"/>
      <c r="BB488" s="115"/>
      <c r="BC488" s="115"/>
      <c r="BD488" s="115"/>
      <c r="BE488" s="995"/>
      <c r="BF488" s="115"/>
      <c r="BG488" s="115"/>
      <c r="BH488" s="641"/>
      <c r="BI488" s="115"/>
      <c r="BJ488" s="995"/>
      <c r="BK488" s="115"/>
      <c r="BL488" s="115"/>
      <c r="BM488" s="115"/>
      <c r="BN488" s="115"/>
      <c r="BO488" s="995"/>
      <c r="BP488" s="995"/>
      <c r="BQ488" s="995"/>
      <c r="BR488" s="995"/>
      <c r="BS488" s="305"/>
    </row>
    <row r="489" spans="1:71" s="51" customFormat="1" ht="15" hidden="1" outlineLevel="2">
      <c r="A489" s="109" t="s">
        <v>502</v>
      </c>
      <c r="B489" s="391"/>
      <c r="C489" s="1000"/>
      <c r="D489" s="1000"/>
      <c r="E489" s="1000"/>
      <c r="F489" s="999">
        <f t="shared" si="1530" ref="F489">SUM(F486:F488)</f>
        <v>413</v>
      </c>
      <c r="G489" s="999">
        <f t="shared" si="1531" ref="G489">SUM(G486:G488)</f>
        <v>486</v>
      </c>
      <c r="H489" s="57">
        <f t="shared" si="1532" ref="H489">SUM(H486:H488)</f>
        <v>176</v>
      </c>
      <c r="I489" s="57">
        <f t="shared" si="1533" ref="I489">SUM(I486:I488)</f>
        <v>135</v>
      </c>
      <c r="J489" s="57">
        <f t="shared" si="1534" ref="J489">SUM(J486:J488)</f>
        <v>150</v>
      </c>
      <c r="K489" s="57">
        <f t="shared" si="1535" ref="K489">SUM(K486:K488)</f>
        <v>138</v>
      </c>
      <c r="L489" s="999">
        <f t="shared" si="1536" ref="L489">SUM(L486:L488)</f>
        <v>599</v>
      </c>
      <c r="M489" s="57">
        <f t="shared" si="1537" ref="M489">SUM(M486:M488)</f>
        <v>157</v>
      </c>
      <c r="N489" s="57">
        <f t="shared" si="1538" ref="N489">SUM(N486:N488)</f>
        <v>139</v>
      </c>
      <c r="O489" s="57">
        <f t="shared" si="1539" ref="O489">SUM(O486:O488)</f>
        <v>135</v>
      </c>
      <c r="P489" s="57">
        <f t="shared" si="1540" ref="P489">SUM(P486:P488)</f>
        <v>129</v>
      </c>
      <c r="Q489" s="999">
        <f t="shared" si="1541" ref="Q489">SUM(Q486:Q488)</f>
        <v>560</v>
      </c>
      <c r="R489" s="57">
        <f t="shared" si="1542" ref="R489">SUM(R486:R488)</f>
        <v>135</v>
      </c>
      <c r="S489" s="57">
        <f t="shared" si="1543" ref="S489">SUM(S486:S488)</f>
        <v>133</v>
      </c>
      <c r="T489" s="57">
        <f t="shared" si="1544" ref="T489">SUM(T486:T488)</f>
        <v>133</v>
      </c>
      <c r="U489" s="57">
        <f t="shared" si="1545" ref="U489">SUM(U486:U488)</f>
        <v>125</v>
      </c>
      <c r="V489" s="999">
        <f t="shared" si="1546" ref="V489">SUM(V486:V488)</f>
        <v>526</v>
      </c>
      <c r="W489" s="57">
        <f t="shared" si="1547" ref="W489">SUM(W486:W488)</f>
        <v>131</v>
      </c>
      <c r="X489" s="57">
        <f t="shared" si="1548" ref="X489">SUM(X486:X488)</f>
        <v>126</v>
      </c>
      <c r="Y489" s="57">
        <f t="shared" si="1549" ref="Y489">SUM(Y486:Y488)</f>
        <v>131</v>
      </c>
      <c r="Z489" s="57">
        <f t="shared" si="1550" ref="Z489">SUM(Z486:Z488)</f>
        <v>118</v>
      </c>
      <c r="AA489" s="999">
        <f t="shared" si="1551" ref="AA489">SUM(AA486:AA488)</f>
        <v>506</v>
      </c>
      <c r="AB489" s="57">
        <f t="shared" si="1552" ref="AB489">SUM(AB486:AB488)</f>
        <v>129</v>
      </c>
      <c r="AC489" s="57">
        <f t="shared" si="1553" ref="AC489">SUM(AC486:AC488)</f>
        <v>128</v>
      </c>
      <c r="AD489" s="57">
        <f t="shared" si="1554" ref="AD489">SUM(AD486:AD488)</f>
        <v>144</v>
      </c>
      <c r="AE489" s="57">
        <f t="shared" si="1555" ref="AE489">SUM(AE486:AE488)</f>
        <v>130</v>
      </c>
      <c r="AF489" s="999">
        <f t="shared" si="1556" ref="AF489:AL489">SUM(AF486:AF488)</f>
        <v>531</v>
      </c>
      <c r="AG489" s="57">
        <f>SUM(AG486:AG488)</f>
        <v>135</v>
      </c>
      <c r="AH489" s="57">
        <f t="shared" si="1556"/>
        <v>129</v>
      </c>
      <c r="AI489" s="57">
        <f t="shared" si="1556"/>
        <v>133</v>
      </c>
      <c r="AJ489" s="57">
        <f t="shared" si="1556"/>
        <v>166</v>
      </c>
      <c r="AK489" s="999">
        <f t="shared" si="1556"/>
        <v>563</v>
      </c>
      <c r="AL489" s="57">
        <f t="shared" si="1556"/>
        <v>150</v>
      </c>
      <c r="AM489" s="57">
        <f>SUM(AM486:AM488)</f>
        <v>176</v>
      </c>
      <c r="AN489" s="128"/>
      <c r="AO489" s="128"/>
      <c r="AP489" s="1000"/>
      <c r="AQ489" s="128"/>
      <c r="AR489" s="128"/>
      <c r="AS489" s="128"/>
      <c r="AT489" s="128"/>
      <c r="AU489" s="1000"/>
      <c r="AV489" s="128"/>
      <c r="AW489" s="128"/>
      <c r="AX489" s="128"/>
      <c r="AY489" s="128"/>
      <c r="AZ489" s="1000"/>
      <c r="BA489" s="128"/>
      <c r="BB489" s="128"/>
      <c r="BC489" s="128"/>
      <c r="BD489" s="128"/>
      <c r="BE489" s="1000"/>
      <c r="BF489" s="128"/>
      <c r="BG489" s="128"/>
      <c r="BH489" s="465"/>
      <c r="BI489" s="128"/>
      <c r="BJ489" s="1000"/>
      <c r="BK489" s="128"/>
      <c r="BL489" s="128"/>
      <c r="BM489" s="128"/>
      <c r="BN489" s="128"/>
      <c r="BO489" s="1000"/>
      <c r="BP489" s="1000"/>
      <c r="BQ489" s="1000"/>
      <c r="BR489" s="1000"/>
      <c r="BS489" s="57"/>
    </row>
    <row r="490" spans="1:71" s="300" customFormat="1" ht="15" hidden="1" outlineLevel="2">
      <c r="A490" s="304" t="s">
        <v>503</v>
      </c>
      <c r="B490" s="233"/>
      <c r="C490" s="989"/>
      <c r="D490" s="989"/>
      <c r="E490" s="989"/>
      <c r="F490" s="993">
        <f t="shared" si="1557" ref="F490:Z490">F476+F480-F482-F486</f>
        <v>-192</v>
      </c>
      <c r="G490" s="993">
        <f t="shared" si="1557"/>
        <v>-216</v>
      </c>
      <c r="H490" s="305">
        <f t="shared" si="1557"/>
        <v>-92</v>
      </c>
      <c r="I490" s="305">
        <f t="shared" si="1557"/>
        <v>-45</v>
      </c>
      <c r="J490" s="305">
        <f t="shared" si="1557"/>
        <v>-61</v>
      </c>
      <c r="K490" s="305">
        <f t="shared" si="1557"/>
        <v>-58</v>
      </c>
      <c r="L490" s="993">
        <f t="shared" si="1557"/>
        <v>-256</v>
      </c>
      <c r="M490" s="305">
        <f t="shared" si="1557"/>
        <v>-70</v>
      </c>
      <c r="N490" s="305">
        <f t="shared" si="1557"/>
        <v>-35</v>
      </c>
      <c r="O490" s="305">
        <f t="shared" si="1557"/>
        <v>-18</v>
      </c>
      <c r="P490" s="305">
        <f t="shared" si="1557"/>
        <v>-22</v>
      </c>
      <c r="Q490" s="993">
        <f t="shared" si="1557"/>
        <v>-145</v>
      </c>
      <c r="R490" s="305">
        <f t="shared" si="1557"/>
        <v>-18</v>
      </c>
      <c r="S490" s="305">
        <f t="shared" si="1557"/>
        <v>-12</v>
      </c>
      <c r="T490" s="305">
        <f t="shared" si="1557"/>
        <v>-19</v>
      </c>
      <c r="U490" s="305">
        <f t="shared" si="1557"/>
        <v>-16</v>
      </c>
      <c r="V490" s="993">
        <f t="shared" si="1557"/>
        <v>-65</v>
      </c>
      <c r="W490" s="305">
        <f t="shared" si="1557"/>
        <v>-4</v>
      </c>
      <c r="X490" s="305">
        <f t="shared" si="1557"/>
        <v>-13</v>
      </c>
      <c r="Y490" s="305">
        <f t="shared" si="1557"/>
        <v>-15</v>
      </c>
      <c r="Z490" s="305">
        <f t="shared" si="1557"/>
        <v>-5</v>
      </c>
      <c r="AA490" s="993">
        <f t="shared" si="1558" ref="AA490">AA476+AA480-AA482-AA486</f>
        <v>-37</v>
      </c>
      <c r="AB490" s="305">
        <f t="shared" si="1559" ref="AB490:AE490">AB476+AB480-AB482-AB486</f>
        <v>1</v>
      </c>
      <c r="AC490" s="305">
        <f t="shared" si="1559"/>
        <v>5</v>
      </c>
      <c r="AD490" s="305">
        <f t="shared" si="1559"/>
        <v>-5</v>
      </c>
      <c r="AE490" s="305">
        <f t="shared" si="1559"/>
        <v>-12</v>
      </c>
      <c r="AF490" s="993">
        <f t="shared" si="1560" ref="AF490">AF476+AF480-AF482-AF486</f>
        <v>-11</v>
      </c>
      <c r="AG490" s="305">
        <f>AG476+AG480-AG482-AG486</f>
        <v>-1</v>
      </c>
      <c r="AH490" s="305">
        <f t="shared" si="1561" ref="AH490:AL490">AH476+AH480-AH482-AH486</f>
        <v>8</v>
      </c>
      <c r="AI490" s="305">
        <f t="shared" si="1561"/>
        <v>-9</v>
      </c>
      <c r="AJ490" s="305">
        <f t="shared" si="1561"/>
        <v>-45</v>
      </c>
      <c r="AK490" s="993">
        <f t="shared" si="1561"/>
        <v>-47</v>
      </c>
      <c r="AL490" s="305">
        <f t="shared" si="1561"/>
        <v>6</v>
      </c>
      <c r="AM490" s="305">
        <f>AM476+AM480-AM482-AM486</f>
        <v>73</v>
      </c>
      <c r="AN490" s="92"/>
      <c r="AO490" s="92"/>
      <c r="AP490" s="989"/>
      <c r="AQ490" s="92"/>
      <c r="AR490" s="92"/>
      <c r="AS490" s="92"/>
      <c r="AT490" s="92"/>
      <c r="AU490" s="989"/>
      <c r="AV490" s="92"/>
      <c r="AW490" s="92"/>
      <c r="AX490" s="92"/>
      <c r="AY490" s="92"/>
      <c r="AZ490" s="989"/>
      <c r="BA490" s="92"/>
      <c r="BB490" s="92"/>
      <c r="BC490" s="92"/>
      <c r="BD490" s="92"/>
      <c r="BE490" s="989"/>
      <c r="BF490" s="92"/>
      <c r="BG490" s="92"/>
      <c r="BH490" s="464"/>
      <c r="BI490" s="92"/>
      <c r="BJ490" s="989"/>
      <c r="BK490" s="92"/>
      <c r="BL490" s="92"/>
      <c r="BM490" s="92"/>
      <c r="BN490" s="92"/>
      <c r="BO490" s="989"/>
      <c r="BP490" s="989"/>
      <c r="BQ490" s="989"/>
      <c r="BR490" s="989"/>
      <c r="BS490" s="305"/>
    </row>
    <row r="491" spans="1:71" s="300" customFormat="1" ht="15" hidden="1" outlineLevel="2">
      <c r="A491" s="304" t="s">
        <v>504</v>
      </c>
      <c r="B491" s="233"/>
      <c r="C491" s="989"/>
      <c r="D491" s="989"/>
      <c r="E491" s="989"/>
      <c r="F491" s="993">
        <f t="shared" si="1562" ref="F491:Z492">F477-F483-F487</f>
        <v>0</v>
      </c>
      <c r="G491" s="993">
        <f t="shared" si="1562"/>
        <v>0</v>
      </c>
      <c r="H491" s="305">
        <f t="shared" si="1562"/>
        <v>0</v>
      </c>
      <c r="I491" s="305">
        <f t="shared" si="1562"/>
        <v>0</v>
      </c>
      <c r="J491" s="305">
        <f t="shared" si="1562"/>
        <v>0</v>
      </c>
      <c r="K491" s="305">
        <f t="shared" si="1562"/>
        <v>1</v>
      </c>
      <c r="L491" s="993">
        <f t="shared" si="1562"/>
        <v>1</v>
      </c>
      <c r="M491" s="305">
        <f t="shared" si="1562"/>
        <v>2</v>
      </c>
      <c r="N491" s="305">
        <f t="shared" si="1562"/>
        <v>-6</v>
      </c>
      <c r="O491" s="305">
        <f t="shared" si="1562"/>
        <v>-9</v>
      </c>
      <c r="P491" s="305">
        <f t="shared" si="1562"/>
        <v>-6</v>
      </c>
      <c r="Q491" s="993">
        <f t="shared" si="1562"/>
        <v>-19</v>
      </c>
      <c r="R491" s="305">
        <f t="shared" si="1562"/>
        <v>-7</v>
      </c>
      <c r="S491" s="305">
        <f t="shared" si="1562"/>
        <v>-25</v>
      </c>
      <c r="T491" s="305">
        <f t="shared" si="1562"/>
        <v>-22</v>
      </c>
      <c r="U491" s="305">
        <f t="shared" si="1562"/>
        <v>-5</v>
      </c>
      <c r="V491" s="993">
        <f t="shared" si="1562"/>
        <v>-59</v>
      </c>
      <c r="W491" s="305">
        <f t="shared" si="1562"/>
        <v>-7</v>
      </c>
      <c r="X491" s="305">
        <f t="shared" si="1562"/>
        <v>-13</v>
      </c>
      <c r="Y491" s="305">
        <f t="shared" si="1562"/>
        <v>-4</v>
      </c>
      <c r="Z491" s="305">
        <f t="shared" si="1562"/>
        <v>4</v>
      </c>
      <c r="AA491" s="993">
        <f t="shared" si="1563" ref="AA491:AA492">AA477-AA483-AA487</f>
        <v>-20</v>
      </c>
      <c r="AB491" s="305">
        <f t="shared" si="1564" ref="AB491:AE492">AB477-AB483-AB487</f>
        <v>2</v>
      </c>
      <c r="AC491" s="305">
        <f t="shared" si="1564"/>
        <v>-14</v>
      </c>
      <c r="AD491" s="305">
        <f t="shared" si="1564"/>
        <v>-6</v>
      </c>
      <c r="AE491" s="305">
        <f t="shared" si="1564"/>
        <v>4</v>
      </c>
      <c r="AF491" s="993">
        <f t="shared" si="1565" ref="AF491">AF477-AF483-AF487</f>
        <v>-14</v>
      </c>
      <c r="AG491" s="305">
        <f>AG477-AG483-AG487</f>
        <v>4</v>
      </c>
      <c r="AH491" s="305">
        <f t="shared" si="1566" ref="AH491:AL491">AH477-AH483-AH487</f>
        <v>-11</v>
      </c>
      <c r="AI491" s="305">
        <f t="shared" si="1566"/>
        <v>1</v>
      </c>
      <c r="AJ491" s="305">
        <f t="shared" si="1566"/>
        <v>8</v>
      </c>
      <c r="AK491" s="993">
        <f t="shared" si="1566"/>
        <v>2</v>
      </c>
      <c r="AL491" s="305">
        <f t="shared" si="1566"/>
        <v>12</v>
      </c>
      <c r="AM491" s="305">
        <f>AM477-AM483-AM487</f>
        <v>-1</v>
      </c>
      <c r="AN491" s="92"/>
      <c r="AO491" s="92"/>
      <c r="AP491" s="989"/>
      <c r="AQ491" s="92"/>
      <c r="AR491" s="92"/>
      <c r="AS491" s="92"/>
      <c r="AT491" s="92"/>
      <c r="AU491" s="989"/>
      <c r="AV491" s="92"/>
      <c r="AW491" s="92"/>
      <c r="AX491" s="92"/>
      <c r="AY491" s="92"/>
      <c r="AZ491" s="989"/>
      <c r="BA491" s="92"/>
      <c r="BB491" s="92"/>
      <c r="BC491" s="92"/>
      <c r="BD491" s="92"/>
      <c r="BE491" s="989"/>
      <c r="BF491" s="92"/>
      <c r="BG491" s="92"/>
      <c r="BH491" s="464"/>
      <c r="BI491" s="92"/>
      <c r="BJ491" s="989"/>
      <c r="BK491" s="92"/>
      <c r="BL491" s="92"/>
      <c r="BM491" s="92"/>
      <c r="BN491" s="92"/>
      <c r="BO491" s="989"/>
      <c r="BP491" s="989"/>
      <c r="BQ491" s="989"/>
      <c r="BR491" s="989"/>
      <c r="BS491" s="305"/>
    </row>
    <row r="492" spans="1:71" s="300" customFormat="1" ht="15" hidden="1" outlineLevel="2">
      <c r="A492" s="110" t="s">
        <v>505</v>
      </c>
      <c r="B492" s="113"/>
      <c r="C492" s="995"/>
      <c r="D492" s="995"/>
      <c r="E492" s="995"/>
      <c r="F492" s="998">
        <f t="shared" si="1562"/>
        <v>0</v>
      </c>
      <c r="G492" s="998">
        <f t="shared" si="1562"/>
        <v>-2</v>
      </c>
      <c r="H492" s="58">
        <f t="shared" si="1562"/>
        <v>-1</v>
      </c>
      <c r="I492" s="58">
        <f t="shared" si="1562"/>
        <v>0</v>
      </c>
      <c r="J492" s="58">
        <f t="shared" si="1562"/>
        <v>-1</v>
      </c>
      <c r="K492" s="58">
        <f t="shared" si="1562"/>
        <v>-2</v>
      </c>
      <c r="L492" s="998">
        <f t="shared" si="1562"/>
        <v>-4</v>
      </c>
      <c r="M492" s="58">
        <f t="shared" si="1562"/>
        <v>-1</v>
      </c>
      <c r="N492" s="58">
        <f t="shared" si="1562"/>
        <v>0</v>
      </c>
      <c r="O492" s="58">
        <f t="shared" si="1562"/>
        <v>1</v>
      </c>
      <c r="P492" s="58">
        <f t="shared" si="1562"/>
        <v>0</v>
      </c>
      <c r="Q492" s="998">
        <f t="shared" si="1562"/>
        <v>0</v>
      </c>
      <c r="R492" s="58">
        <f t="shared" si="1562"/>
        <v>0</v>
      </c>
      <c r="S492" s="58">
        <f t="shared" si="1562"/>
        <v>0</v>
      </c>
      <c r="T492" s="58">
        <f t="shared" si="1562"/>
        <v>0</v>
      </c>
      <c r="U492" s="58">
        <f t="shared" si="1562"/>
        <v>0</v>
      </c>
      <c r="V492" s="998">
        <f t="shared" si="1562"/>
        <v>0</v>
      </c>
      <c r="W492" s="58">
        <f t="shared" si="1562"/>
        <v>1</v>
      </c>
      <c r="X492" s="58">
        <f t="shared" si="1562"/>
        <v>0</v>
      </c>
      <c r="Y492" s="58">
        <f t="shared" si="1562"/>
        <v>0</v>
      </c>
      <c r="Z492" s="58">
        <f t="shared" si="1562"/>
        <v>0</v>
      </c>
      <c r="AA492" s="998">
        <f t="shared" si="1563"/>
        <v>1</v>
      </c>
      <c r="AB492" s="58">
        <f t="shared" si="1564"/>
        <v>0</v>
      </c>
      <c r="AC492" s="58">
        <f t="shared" si="1564"/>
        <v>0</v>
      </c>
      <c r="AD492" s="58">
        <f t="shared" si="1564"/>
        <v>1</v>
      </c>
      <c r="AE492" s="58">
        <f t="shared" si="1564"/>
        <v>-1</v>
      </c>
      <c r="AF492" s="998">
        <f t="shared" si="1567" ref="AF492">AF478-AF484-AF488</f>
        <v>0</v>
      </c>
      <c r="AG492" s="58">
        <f>AG478-AG484-AG488</f>
        <v>0</v>
      </c>
      <c r="AH492" s="58">
        <f t="shared" si="1568" ref="AH492:AL492">AH478-AH484-AH488</f>
        <v>0</v>
      </c>
      <c r="AI492" s="58">
        <f t="shared" si="1568"/>
        <v>2</v>
      </c>
      <c r="AJ492" s="58">
        <f t="shared" si="1568"/>
        <v>0</v>
      </c>
      <c r="AK492" s="998">
        <f t="shared" si="1568"/>
        <v>2</v>
      </c>
      <c r="AL492" s="58">
        <f t="shared" si="1568"/>
        <v>1</v>
      </c>
      <c r="AM492" s="58">
        <f>AM478-AM484-AM488</f>
        <v>0</v>
      </c>
      <c r="AN492" s="115"/>
      <c r="AO492" s="115"/>
      <c r="AP492" s="995"/>
      <c r="AQ492" s="115"/>
      <c r="AR492" s="115"/>
      <c r="AS492" s="115"/>
      <c r="AT492" s="115"/>
      <c r="AU492" s="995"/>
      <c r="AV492" s="115"/>
      <c r="AW492" s="115"/>
      <c r="AX492" s="115"/>
      <c r="AY492" s="115"/>
      <c r="AZ492" s="995"/>
      <c r="BA492" s="115"/>
      <c r="BB492" s="115"/>
      <c r="BC492" s="115"/>
      <c r="BD492" s="115"/>
      <c r="BE492" s="995"/>
      <c r="BF492" s="115"/>
      <c r="BG492" s="115"/>
      <c r="BH492" s="641"/>
      <c r="BI492" s="115"/>
      <c r="BJ492" s="995"/>
      <c r="BK492" s="115"/>
      <c r="BL492" s="115"/>
      <c r="BM492" s="115"/>
      <c r="BN492" s="115"/>
      <c r="BO492" s="995"/>
      <c r="BP492" s="995"/>
      <c r="BQ492" s="995"/>
      <c r="BR492" s="995"/>
      <c r="BS492" s="305"/>
    </row>
    <row r="493" spans="1:71" s="51" customFormat="1" ht="15" hidden="1" outlineLevel="2">
      <c r="A493" s="109" t="s">
        <v>506</v>
      </c>
      <c r="B493" s="391"/>
      <c r="C493" s="1000"/>
      <c r="D493" s="1000"/>
      <c r="E493" s="1000"/>
      <c r="F493" s="999">
        <f t="shared" si="1569" ref="F493">SUM(F490:F492)</f>
        <v>-192</v>
      </c>
      <c r="G493" s="999">
        <f t="shared" si="1570" ref="G493">SUM(G490:G492)</f>
        <v>-218</v>
      </c>
      <c r="H493" s="57">
        <f t="shared" si="1571" ref="H493">SUM(H490:H492)</f>
        <v>-93</v>
      </c>
      <c r="I493" s="57">
        <f t="shared" si="1572" ref="I493">SUM(I490:I492)</f>
        <v>-45</v>
      </c>
      <c r="J493" s="57">
        <f t="shared" si="1573" ref="J493">SUM(J490:J492)</f>
        <v>-62</v>
      </c>
      <c r="K493" s="57">
        <f t="shared" si="1574" ref="K493">SUM(K490:K492)</f>
        <v>-59</v>
      </c>
      <c r="L493" s="999">
        <f t="shared" si="1575" ref="L493">SUM(L490:L492)</f>
        <v>-259</v>
      </c>
      <c r="M493" s="57">
        <f t="shared" si="1576" ref="M493">SUM(M490:M492)</f>
        <v>-69</v>
      </c>
      <c r="N493" s="57">
        <f t="shared" si="1577" ref="N493">SUM(N490:N492)</f>
        <v>-41</v>
      </c>
      <c r="O493" s="57">
        <f t="shared" si="1578" ref="O493">SUM(O490:O492)</f>
        <v>-26</v>
      </c>
      <c r="P493" s="57">
        <f t="shared" si="1579" ref="P493">SUM(P490:P492)</f>
        <v>-28</v>
      </c>
      <c r="Q493" s="999">
        <f t="shared" si="1580" ref="Q493">SUM(Q490:Q492)</f>
        <v>-164</v>
      </c>
      <c r="R493" s="57">
        <f t="shared" si="1581" ref="R493">SUM(R490:R492)</f>
        <v>-25</v>
      </c>
      <c r="S493" s="57">
        <f t="shared" si="1582" ref="S493">SUM(S490:S492)</f>
        <v>-37</v>
      </c>
      <c r="T493" s="57">
        <f t="shared" si="1583" ref="T493">SUM(T490:T492)</f>
        <v>-41</v>
      </c>
      <c r="U493" s="57">
        <f t="shared" si="1584" ref="U493:V493">SUM(U490:U492)</f>
        <v>-21</v>
      </c>
      <c r="V493" s="999">
        <f t="shared" si="1584"/>
        <v>-124</v>
      </c>
      <c r="W493" s="57">
        <f t="shared" si="1585" ref="W493">SUM(W490:W492)</f>
        <v>-10</v>
      </c>
      <c r="X493" s="57">
        <f t="shared" si="1586" ref="X493">SUM(X490:X492)</f>
        <v>-26</v>
      </c>
      <c r="Y493" s="57">
        <f t="shared" si="1587" ref="Y493">SUM(Y490:Y492)</f>
        <v>-19</v>
      </c>
      <c r="Z493" s="57">
        <f t="shared" si="1588" ref="Z493">SUM(Z490:Z492)</f>
        <v>-1</v>
      </c>
      <c r="AA493" s="999">
        <f t="shared" si="1589" ref="AA493">SUM(AA490:AA492)</f>
        <v>-56</v>
      </c>
      <c r="AB493" s="57">
        <f t="shared" si="1590" ref="AB493">SUM(AB490:AB492)</f>
        <v>3</v>
      </c>
      <c r="AC493" s="57">
        <f t="shared" si="1591" ref="AC493">SUM(AC490:AC492)</f>
        <v>-9</v>
      </c>
      <c r="AD493" s="57">
        <f t="shared" si="1592" ref="AD493">SUM(AD490:AD492)</f>
        <v>-10</v>
      </c>
      <c r="AE493" s="57">
        <f t="shared" si="1593" ref="AE493">SUM(AE490:AE492)</f>
        <v>-9</v>
      </c>
      <c r="AF493" s="999">
        <f t="shared" si="1594" ref="AF493:AL493">SUM(AF490:AF492)</f>
        <v>-25</v>
      </c>
      <c r="AG493" s="57">
        <f>SUM(AG490:AG492)</f>
        <v>3</v>
      </c>
      <c r="AH493" s="57">
        <f t="shared" si="1594"/>
        <v>-3</v>
      </c>
      <c r="AI493" s="57">
        <f t="shared" si="1594"/>
        <v>-6</v>
      </c>
      <c r="AJ493" s="57">
        <f t="shared" si="1594"/>
        <v>-37</v>
      </c>
      <c r="AK493" s="999">
        <f t="shared" si="1594"/>
        <v>-43</v>
      </c>
      <c r="AL493" s="57">
        <f t="shared" si="1594"/>
        <v>19</v>
      </c>
      <c r="AM493" s="57">
        <f>SUM(AM490:AM492)</f>
        <v>72</v>
      </c>
      <c r="AN493" s="128"/>
      <c r="AO493" s="128"/>
      <c r="AP493" s="1000"/>
      <c r="AQ493" s="128"/>
      <c r="AR493" s="128"/>
      <c r="AS493" s="128"/>
      <c r="AT493" s="128"/>
      <c r="AU493" s="1000"/>
      <c r="AV493" s="128"/>
      <c r="AW493" s="128"/>
      <c r="AX493" s="128"/>
      <c r="AY493" s="128"/>
      <c r="AZ493" s="1000"/>
      <c r="BA493" s="128"/>
      <c r="BB493" s="128"/>
      <c r="BC493" s="128"/>
      <c r="BD493" s="128"/>
      <c r="BE493" s="1000"/>
      <c r="BF493" s="128"/>
      <c r="BG493" s="128"/>
      <c r="BH493" s="465"/>
      <c r="BI493" s="128"/>
      <c r="BJ493" s="1000"/>
      <c r="BK493" s="128"/>
      <c r="BL493" s="128"/>
      <c r="BM493" s="128"/>
      <c r="BN493" s="128"/>
      <c r="BO493" s="1000"/>
      <c r="BP493" s="1000"/>
      <c r="BQ493" s="1000"/>
      <c r="BR493" s="1000"/>
      <c r="BS493" s="57"/>
    </row>
    <row r="494" spans="1:71" s="22" customFormat="1" ht="15" hidden="1" outlineLevel="2">
      <c r="A494" s="480"/>
      <c r="B494" s="485"/>
      <c r="C494" s="1010"/>
      <c r="D494" s="1010"/>
      <c r="E494" s="1010"/>
      <c r="F494" s="1010"/>
      <c r="G494" s="1010"/>
      <c r="H494" s="840"/>
      <c r="I494" s="840"/>
      <c r="J494" s="840"/>
      <c r="K494" s="840"/>
      <c r="L494" s="1010"/>
      <c r="M494" s="840"/>
      <c r="N494" s="840"/>
      <c r="O494" s="840"/>
      <c r="P494" s="840"/>
      <c r="Q494" s="1010"/>
      <c r="R494" s="840"/>
      <c r="S494" s="840"/>
      <c r="T494" s="840"/>
      <c r="U494" s="840"/>
      <c r="V494" s="1010"/>
      <c r="W494" s="840"/>
      <c r="X494" s="840"/>
      <c r="Y494" s="840"/>
      <c r="Z494" s="840"/>
      <c r="AA494" s="1010"/>
      <c r="AB494" s="840"/>
      <c r="AC494" s="840"/>
      <c r="AD494" s="840"/>
      <c r="AE494" s="840"/>
      <c r="AF494" s="1010"/>
      <c r="AG494" s="840"/>
      <c r="AH494" s="840"/>
      <c r="AI494" s="840"/>
      <c r="AJ494" s="840"/>
      <c r="AK494" s="1010"/>
      <c r="AL494" s="840"/>
      <c r="AM494" s="840"/>
      <c r="AN494" s="840"/>
      <c r="AO494" s="840"/>
      <c r="AP494" s="1010"/>
      <c r="AQ494" s="840"/>
      <c r="AR494" s="840"/>
      <c r="AS494" s="840"/>
      <c r="AT494" s="840"/>
      <c r="AU494" s="1010"/>
      <c r="AV494" s="840"/>
      <c r="AW494" s="840"/>
      <c r="AX494" s="840"/>
      <c r="AY494" s="840"/>
      <c r="AZ494" s="1010"/>
      <c r="BA494" s="840"/>
      <c r="BB494" s="840"/>
      <c r="BC494" s="840"/>
      <c r="BD494" s="840"/>
      <c r="BE494" s="1010"/>
      <c r="BF494" s="840"/>
      <c r="BG494" s="840"/>
      <c r="BH494" s="841"/>
      <c r="BI494" s="840"/>
      <c r="BJ494" s="1010"/>
      <c r="BK494" s="840"/>
      <c r="BL494" s="840"/>
      <c r="BM494" s="840"/>
      <c r="BN494" s="840"/>
      <c r="BO494" s="1010"/>
      <c r="BP494" s="1010"/>
      <c r="BQ494" s="1010"/>
      <c r="BR494" s="1010"/>
      <c r="BS494" s="822"/>
    </row>
    <row r="495" spans="1:71" s="24" customFormat="1" ht="15" hidden="1" outlineLevel="2">
      <c r="A495" s="45" t="s">
        <v>507</v>
      </c>
      <c r="B495" s="494"/>
      <c r="C495" s="1011"/>
      <c r="D495" s="1011"/>
      <c r="E495" s="1011"/>
      <c r="F495" s="1017">
        <f t="shared" si="1595" ref="F495:U495">F485/F479</f>
        <v>0.77145811789038266</v>
      </c>
      <c r="G495" s="1017">
        <f t="shared" si="1595"/>
        <v>0.78508420208500396</v>
      </c>
      <c r="H495" s="47">
        <f t="shared" si="1595"/>
        <v>0.75801749271137031</v>
      </c>
      <c r="I495" s="47">
        <f t="shared" si="1595"/>
        <v>0.75409836065573765</v>
      </c>
      <c r="J495" s="47">
        <f t="shared" si="1595"/>
        <v>0.76407506702412864</v>
      </c>
      <c r="K495" s="47">
        <f t="shared" si="1595"/>
        <v>0.79265091863517056</v>
      </c>
      <c r="L495" s="1017">
        <f t="shared" si="1595"/>
        <v>0.76760082023239917</v>
      </c>
      <c r="M495" s="47">
        <f t="shared" si="1595"/>
        <v>0.77260981912144699</v>
      </c>
      <c r="N495" s="47">
        <f t="shared" si="1595"/>
        <v>0.75621890547263682</v>
      </c>
      <c r="O495" s="47">
        <f t="shared" si="1595"/>
        <v>0.72681704260651625</v>
      </c>
      <c r="P495" s="47">
        <f t="shared" si="1595"/>
        <v>0.7475</v>
      </c>
      <c r="Q495" s="1017">
        <f t="shared" si="1595"/>
        <v>0.75062972292191432</v>
      </c>
      <c r="R495" s="47">
        <f t="shared" si="1595"/>
        <v>0.7277227722772277</v>
      </c>
      <c r="S495" s="47">
        <f t="shared" si="1595"/>
        <v>0.76867469879518069</v>
      </c>
      <c r="T495" s="47">
        <f t="shared" si="1595"/>
        <v>0.77990430622009566</v>
      </c>
      <c r="U495" s="47">
        <f t="shared" si="1595"/>
        <v>0.75413711583924348</v>
      </c>
      <c r="V495" s="1017">
        <f t="shared" si="1596" ref="V495">V485/V479</f>
        <v>0.75783132530120478</v>
      </c>
      <c r="W495" s="47">
        <f t="shared" si="1597" ref="W495:AA495">W485/W479</f>
        <v>0.74940334128878283</v>
      </c>
      <c r="X495" s="47">
        <f t="shared" si="1597"/>
        <v>0.80652680652680653</v>
      </c>
      <c r="Y495" s="47">
        <f t="shared" si="1597"/>
        <v>0.78009259259259256</v>
      </c>
      <c r="Z495" s="47">
        <f t="shared" si="1597"/>
        <v>0.76851851851851849</v>
      </c>
      <c r="AA495" s="1017">
        <f t="shared" si="1597"/>
        <v>0.77628504672897192</v>
      </c>
      <c r="AB495" s="47">
        <f t="shared" si="1598" ref="AB495:AF495">AB485/AB479</f>
        <v>0.74133949191685911</v>
      </c>
      <c r="AC495" s="47">
        <f t="shared" si="1598"/>
        <v>0.78617710583153344</v>
      </c>
      <c r="AD495" s="47">
        <f t="shared" si="1598"/>
        <v>0.76409185803757829</v>
      </c>
      <c r="AE495" s="47">
        <f t="shared" si="1598"/>
        <v>0.79352226720647778</v>
      </c>
      <c r="AF495" s="1017">
        <f t="shared" si="1598"/>
        <v>0.7720706260032103</v>
      </c>
      <c r="AG495" s="47">
        <f t="shared" si="1599" ref="AG495:AK495">AG485/AG479</f>
        <v>0.76494023904382469</v>
      </c>
      <c r="AH495" s="47">
        <f t="shared" si="1599"/>
        <v>0.79809523809523808</v>
      </c>
      <c r="AI495" s="47">
        <f t="shared" si="1599"/>
        <v>0.80303030303030298</v>
      </c>
      <c r="AJ495" s="47">
        <f t="shared" si="1599"/>
        <v>0.79511278195488722</v>
      </c>
      <c r="AK495" s="1017">
        <f t="shared" si="1599"/>
        <v>0.79060852898897938</v>
      </c>
      <c r="AL495" s="47">
        <f>AL485/AL479</f>
        <v>0.7186897880539499</v>
      </c>
      <c r="AM495" s="47">
        <f>AM485/AM479</f>
        <v>0.5697896749521989</v>
      </c>
      <c r="AN495" s="130"/>
      <c r="AO495" s="130"/>
      <c r="AP495" s="1011"/>
      <c r="AQ495" s="130"/>
      <c r="AR495" s="130"/>
      <c r="AS495" s="130"/>
      <c r="AT495" s="130"/>
      <c r="AU495" s="1011"/>
      <c r="AV495" s="130"/>
      <c r="AW495" s="130"/>
      <c r="AX495" s="130"/>
      <c r="AY495" s="130"/>
      <c r="AZ495" s="1011"/>
      <c r="BA495" s="130"/>
      <c r="BB495" s="130"/>
      <c r="BC495" s="130"/>
      <c r="BD495" s="130"/>
      <c r="BE495" s="1011"/>
      <c r="BF495" s="130"/>
      <c r="BG495" s="130"/>
      <c r="BH495" s="748"/>
      <c r="BI495" s="130"/>
      <c r="BJ495" s="1011"/>
      <c r="BK495" s="130"/>
      <c r="BL495" s="130"/>
      <c r="BM495" s="130"/>
      <c r="BN495" s="130"/>
      <c r="BO495" s="1011"/>
      <c r="BP495" s="1011"/>
      <c r="BQ495" s="1011"/>
      <c r="BR495" s="1011"/>
      <c r="BS495" s="47"/>
    </row>
    <row r="496" spans="1:71" s="24" customFormat="1" ht="15" hidden="1" outlineLevel="2">
      <c r="A496" s="63" t="s">
        <v>508</v>
      </c>
      <c r="B496" s="495"/>
      <c r="C496" s="1029"/>
      <c r="D496" s="1029"/>
      <c r="E496" s="1029"/>
      <c r="F496" s="1038">
        <f t="shared" si="1600" ref="F496:U496">(F489-F481)/F479</f>
        <v>0.42709410548086868</v>
      </c>
      <c r="G496" s="1038">
        <f t="shared" si="1600"/>
        <v>0.38973536487570171</v>
      </c>
      <c r="H496" s="345">
        <f t="shared" si="1600"/>
        <v>0.51311953352769679</v>
      </c>
      <c r="I496" s="345">
        <f t="shared" si="1600"/>
        <v>0.36885245901639346</v>
      </c>
      <c r="J496" s="345">
        <f t="shared" si="1600"/>
        <v>0.40214477211796246</v>
      </c>
      <c r="K496" s="345">
        <f t="shared" si="1600"/>
        <v>0.36220472440944884</v>
      </c>
      <c r="L496" s="1038">
        <f t="shared" si="1600"/>
        <v>0.40943267259056731</v>
      </c>
      <c r="M496" s="345">
        <f t="shared" si="1600"/>
        <v>0.40568475452196384</v>
      </c>
      <c r="N496" s="345">
        <f t="shared" si="1600"/>
        <v>0.34577114427860695</v>
      </c>
      <c r="O496" s="345">
        <f t="shared" si="1600"/>
        <v>0.33834586466165412</v>
      </c>
      <c r="P496" s="345">
        <f t="shared" si="1600"/>
        <v>0.3225</v>
      </c>
      <c r="Q496" s="1038">
        <f t="shared" si="1600"/>
        <v>0.3526448362720403</v>
      </c>
      <c r="R496" s="345">
        <f t="shared" si="1600"/>
        <v>0.33415841584158418</v>
      </c>
      <c r="S496" s="345">
        <f t="shared" si="1600"/>
        <v>0.32048192771084338</v>
      </c>
      <c r="T496" s="345">
        <f t="shared" si="1600"/>
        <v>0.31818181818181818</v>
      </c>
      <c r="U496" s="345">
        <f t="shared" si="1600"/>
        <v>0.29550827423167847</v>
      </c>
      <c r="V496" s="1038">
        <f t="shared" si="1601" ref="V496">(V489-V481)/V479</f>
        <v>0.31686746987951808</v>
      </c>
      <c r="W496" s="345">
        <f t="shared" si="1602" ref="W496:AA496">(W489-W481)/W479</f>
        <v>0.27446300715990452</v>
      </c>
      <c r="X496" s="345">
        <f t="shared" si="1602"/>
        <v>0.25407925407925408</v>
      </c>
      <c r="Y496" s="345">
        <f t="shared" si="1602"/>
        <v>0.2638888888888889</v>
      </c>
      <c r="Z496" s="345">
        <f t="shared" si="1602"/>
        <v>0.23379629629629631</v>
      </c>
      <c r="AA496" s="1038">
        <f t="shared" si="1602"/>
        <v>0.25642523364485981</v>
      </c>
      <c r="AB496" s="345">
        <f t="shared" si="1603" ref="AB496:AF496">(AB489-AB481)/AB479</f>
        <v>0.25173210161662818</v>
      </c>
      <c r="AC496" s="345">
        <f t="shared" si="1603"/>
        <v>0.23326133909287258</v>
      </c>
      <c r="AD496" s="345">
        <f t="shared" si="1603"/>
        <v>0.25678496868475992</v>
      </c>
      <c r="AE496" s="345">
        <f t="shared" si="1603"/>
        <v>0.22469635627530365</v>
      </c>
      <c r="AF496" s="1038">
        <f t="shared" si="1603"/>
        <v>0.24130551096843231</v>
      </c>
      <c r="AG496" s="345">
        <f t="shared" si="1604" ref="AG496:AK496">(AG489-AG481)/AG479</f>
        <v>0.22908366533864541</v>
      </c>
      <c r="AH496" s="345">
        <f t="shared" si="1604"/>
        <v>0.20761904761904762</v>
      </c>
      <c r="AI496" s="345">
        <f t="shared" si="1604"/>
        <v>0.20833333333333334</v>
      </c>
      <c r="AJ496" s="345">
        <f t="shared" si="1604"/>
        <v>0.27443609022556392</v>
      </c>
      <c r="AK496" s="1038">
        <f t="shared" si="1604"/>
        <v>0.22999520843315766</v>
      </c>
      <c r="AL496" s="345">
        <f>(AL489-AL481)/AL479</f>
        <v>0.24470134874759153</v>
      </c>
      <c r="AM496" s="345">
        <f>(AM489-AM481)/AM479</f>
        <v>0.29254302103250479</v>
      </c>
      <c r="AN496" s="343"/>
      <c r="AO496" s="343"/>
      <c r="AP496" s="1029"/>
      <c r="AQ496" s="343"/>
      <c r="AR496" s="343"/>
      <c r="AS496" s="343"/>
      <c r="AT496" s="343"/>
      <c r="AU496" s="1029"/>
      <c r="AV496" s="343"/>
      <c r="AW496" s="343"/>
      <c r="AX496" s="343"/>
      <c r="AY496" s="343"/>
      <c r="AZ496" s="1029"/>
      <c r="BA496" s="343"/>
      <c r="BB496" s="343"/>
      <c r="BC496" s="343"/>
      <c r="BD496" s="343"/>
      <c r="BE496" s="1029"/>
      <c r="BF496" s="343"/>
      <c r="BG496" s="343"/>
      <c r="BH496" s="762"/>
      <c r="BI496" s="343"/>
      <c r="BJ496" s="1029"/>
      <c r="BK496" s="343"/>
      <c r="BL496" s="343"/>
      <c r="BM496" s="343"/>
      <c r="BN496" s="343"/>
      <c r="BO496" s="1029"/>
      <c r="BP496" s="1029"/>
      <c r="BQ496" s="1029"/>
      <c r="BR496" s="1029"/>
      <c r="BS496" s="47"/>
    </row>
    <row r="497" spans="1:71" s="25" customFormat="1" ht="15" hidden="1" outlineLevel="2">
      <c r="A497" s="43" t="s">
        <v>509</v>
      </c>
      <c r="B497" s="496"/>
      <c r="C497" s="1016"/>
      <c r="D497" s="1016"/>
      <c r="E497" s="1016"/>
      <c r="F497" s="1015">
        <f t="shared" si="1605" ref="F497">SUM(F495:F496)</f>
        <v>1.1985522233712513</v>
      </c>
      <c r="G497" s="1015">
        <f t="shared" si="1606" ref="G497">SUM(G495:G496)</f>
        <v>1.1748195669607058</v>
      </c>
      <c r="H497" s="158">
        <f t="shared" si="1607" ref="H497">SUM(H495:H496)</f>
        <v>1.2711370262390671</v>
      </c>
      <c r="I497" s="158">
        <f t="shared" si="1608" ref="I497">SUM(I495:I496)</f>
        <v>1.1229508196721312</v>
      </c>
      <c r="J497" s="158">
        <f t="shared" si="1609" ref="J497">SUM(J495:J496)</f>
        <v>1.166219839142091</v>
      </c>
      <c r="K497" s="158">
        <f t="shared" si="1610" ref="K497">SUM(K495:K496)</f>
        <v>1.1548556430446193</v>
      </c>
      <c r="L497" s="1015">
        <f t="shared" si="1611" ref="L497">SUM(L495:L496)</f>
        <v>1.1770334928229664</v>
      </c>
      <c r="M497" s="158">
        <f t="shared" si="1612" ref="M497">SUM(M495:M496)</f>
        <v>1.1782945736434107</v>
      </c>
      <c r="N497" s="158">
        <f t="shared" si="1613" ref="N497">SUM(N495:N496)</f>
        <v>1.1019900497512438</v>
      </c>
      <c r="O497" s="158">
        <f t="shared" si="1614" ref="O497">SUM(O495:O496)</f>
        <v>1.0651629072681703</v>
      </c>
      <c r="P497" s="158">
        <f t="shared" si="1615" ref="P497">SUM(P495:P496)</f>
        <v>1.0700000000000001</v>
      </c>
      <c r="Q497" s="1015">
        <f t="shared" si="1616" ref="Q497">SUM(Q495:Q496)</f>
        <v>1.1032745591939546</v>
      </c>
      <c r="R497" s="158">
        <f t="shared" si="1617" ref="R497">SUM(R495:R496)</f>
        <v>1.0618811881188119</v>
      </c>
      <c r="S497" s="158">
        <f t="shared" si="1618" ref="S497">SUM(S495:S496)</f>
        <v>1.089156626506024</v>
      </c>
      <c r="T497" s="158">
        <f t="shared" si="1619" ref="T497">SUM(T495:T496)</f>
        <v>1.0980861244019138</v>
      </c>
      <c r="U497" s="158">
        <f t="shared" si="1620" ref="U497">SUM(U495:U496)</f>
        <v>1.0496453900709219</v>
      </c>
      <c r="V497" s="1015">
        <f t="shared" si="1621" ref="V497">SUM(V495:V496)</f>
        <v>1.0746987951807228</v>
      </c>
      <c r="W497" s="158">
        <f t="shared" si="1622" ref="W497">SUM(W495:W496)</f>
        <v>1.0238663484486874</v>
      </c>
      <c r="X497" s="158">
        <f t="shared" si="1623" ref="X497">SUM(X495:X496)</f>
        <v>1.0606060606060606</v>
      </c>
      <c r="Y497" s="158">
        <f t="shared" si="1624" ref="Y497">SUM(Y495:Y496)</f>
        <v>1.0439814814814814</v>
      </c>
      <c r="Z497" s="158">
        <f t="shared" si="1625" ref="Z497">SUM(Z495:Z496)</f>
        <v>1.0023148148148149</v>
      </c>
      <c r="AA497" s="1015">
        <f t="shared" si="1626" ref="AA497">SUM(AA495:AA496)</f>
        <v>1.0327102803738317</v>
      </c>
      <c r="AB497" s="158">
        <f t="shared" si="1627" ref="AB497">SUM(AB495:AB496)</f>
        <v>0.99307159353348728</v>
      </c>
      <c r="AC497" s="158">
        <f t="shared" si="1628" ref="AC497">SUM(AC495:AC496)</f>
        <v>1.0194384449244061</v>
      </c>
      <c r="AD497" s="158">
        <f t="shared" si="1629" ref="AD497">SUM(AD495:AD496)</f>
        <v>1.0208768267223383</v>
      </c>
      <c r="AE497" s="158">
        <f t="shared" si="1630" ref="AE497">SUM(AE495:AE496)</f>
        <v>1.0182186234817814</v>
      </c>
      <c r="AF497" s="1015">
        <f t="shared" si="1631" ref="AF497">SUM(AF495:AF496)</f>
        <v>1.0133761369716425</v>
      </c>
      <c r="AG497" s="158">
        <f t="shared" si="1632" ref="AG497:AK497">SUM(AG495:AG496)</f>
        <v>0.99402390438247012</v>
      </c>
      <c r="AH497" s="158">
        <f t="shared" si="1632"/>
        <v>1.0057142857142858</v>
      </c>
      <c r="AI497" s="158">
        <f t="shared" si="1632"/>
        <v>1.0113636363636362</v>
      </c>
      <c r="AJ497" s="158">
        <f t="shared" si="1632"/>
        <v>1.0695488721804511</v>
      </c>
      <c r="AK497" s="1015">
        <f t="shared" si="1632"/>
        <v>1.0206037374221371</v>
      </c>
      <c r="AL497" s="153">
        <f>SUM(AL495:AL496)</f>
        <v>0.96339113680154143</v>
      </c>
      <c r="AM497" s="158">
        <f>SUM(AM495:AM496)</f>
        <v>0.86233269598470375</v>
      </c>
      <c r="AN497" s="393"/>
      <c r="AO497" s="393"/>
      <c r="AP497" s="1016"/>
      <c r="AQ497" s="582"/>
      <c r="AR497" s="393"/>
      <c r="AS497" s="393"/>
      <c r="AT497" s="393"/>
      <c r="AU497" s="1016"/>
      <c r="AV497" s="582"/>
      <c r="AW497" s="393"/>
      <c r="AX497" s="393"/>
      <c r="AY497" s="393"/>
      <c r="AZ497" s="1016"/>
      <c r="BA497" s="582"/>
      <c r="BB497" s="393"/>
      <c r="BC497" s="393"/>
      <c r="BD497" s="393"/>
      <c r="BE497" s="1016"/>
      <c r="BF497" s="582"/>
      <c r="BG497" s="393"/>
      <c r="BH497" s="751"/>
      <c r="BI497" s="393"/>
      <c r="BJ497" s="1016"/>
      <c r="BK497" s="393"/>
      <c r="BL497" s="393"/>
      <c r="BM497" s="393"/>
      <c r="BN497" s="393"/>
      <c r="BO497" s="1016"/>
      <c r="BP497" s="1016"/>
      <c r="BQ497" s="1016"/>
      <c r="BR497" s="1016"/>
      <c r="BS497" s="158"/>
    </row>
    <row r="498" spans="1:71" s="24" customFormat="1" ht="15" hidden="1" outlineLevel="2">
      <c r="A498" s="45" t="s">
        <v>510</v>
      </c>
      <c r="B498" s="494"/>
      <c r="C498" s="1011"/>
      <c r="D498" s="1011"/>
      <c r="E498" s="1011"/>
      <c r="F498" s="1012">
        <v>-0.016</v>
      </c>
      <c r="G498" s="1012">
        <v>-0.0089999999999999993</v>
      </c>
      <c r="H498" s="905">
        <v>-0.0030000000000000001</v>
      </c>
      <c r="I498" s="905">
        <v>-0.027</v>
      </c>
      <c r="J498" s="905">
        <v>-0.019</v>
      </c>
      <c r="K498" s="905">
        <v>-0.0030000000000000001</v>
      </c>
      <c r="L498" s="1012">
        <v>-0.012999999999999999</v>
      </c>
      <c r="M498" s="905">
        <v>0</v>
      </c>
      <c r="N498" s="905">
        <v>-0.02</v>
      </c>
      <c r="O498" s="905">
        <v>-0.0080000000000000002</v>
      </c>
      <c r="P498" s="905">
        <v>-0.0080000000000000002</v>
      </c>
      <c r="Q498" s="1012">
        <v>-0.0089999999999999993</v>
      </c>
      <c r="R498" s="905">
        <v>-0.0070000000000000001</v>
      </c>
      <c r="S498" s="905">
        <v>-0.034000000000000002</v>
      </c>
      <c r="T498" s="905">
        <v>-0.033000000000000002</v>
      </c>
      <c r="U498" s="905">
        <v>-0.012</v>
      </c>
      <c r="V498" s="1012">
        <v>-0.021999999999999999</v>
      </c>
      <c r="W498" s="905">
        <v>-0.019</v>
      </c>
      <c r="X498" s="905">
        <v>-0.056000000000000001</v>
      </c>
      <c r="Y498" s="905">
        <v>-0.039</v>
      </c>
      <c r="Z498" s="905">
        <v>-0.002</v>
      </c>
      <c r="AA498" s="1012">
        <v>-0.029000000000000001</v>
      </c>
      <c r="AB498" s="905">
        <v>-0.0070000000000000001</v>
      </c>
      <c r="AC498" s="905">
        <v>-0.062</v>
      </c>
      <c r="AD498" s="905">
        <v>-0.029000000000000001</v>
      </c>
      <c r="AE498" s="905">
        <v>-0.012</v>
      </c>
      <c r="AF498" s="1012">
        <v>-0.028000000000000001</v>
      </c>
      <c r="AG498" s="905">
        <v>-0.012</v>
      </c>
      <c r="AH498" s="905">
        <v>-0.048000000000000001</v>
      </c>
      <c r="AI498" s="905">
        <v>-0.03</v>
      </c>
      <c r="AJ498" s="905">
        <v>-0.0080000000000000002</v>
      </c>
      <c r="AK498" s="1012">
        <v>-0.024</v>
      </c>
      <c r="AL498" s="905">
        <v>-0.0060000000000000001</v>
      </c>
      <c r="AM498" s="905">
        <v>-0.034000000000000002</v>
      </c>
      <c r="AN498" s="130"/>
      <c r="AO498" s="130"/>
      <c r="AP498" s="1011"/>
      <c r="AQ498" s="130"/>
      <c r="AR498" s="130"/>
      <c r="AS498" s="130"/>
      <c r="AT498" s="130"/>
      <c r="AU498" s="1011"/>
      <c r="AV498" s="130"/>
      <c r="AW498" s="130"/>
      <c r="AX498" s="130"/>
      <c r="AY498" s="130"/>
      <c r="AZ498" s="1011"/>
      <c r="BA498" s="130"/>
      <c r="BB498" s="130"/>
      <c r="BC498" s="130"/>
      <c r="BD498" s="130"/>
      <c r="BE498" s="1011"/>
      <c r="BF498" s="130"/>
      <c r="BG498" s="130"/>
      <c r="BH498" s="748"/>
      <c r="BI498" s="130"/>
      <c r="BJ498" s="1011"/>
      <c r="BK498" s="130"/>
      <c r="BL498" s="130"/>
      <c r="BM498" s="130"/>
      <c r="BN498" s="130"/>
      <c r="BO498" s="1011"/>
      <c r="BP498" s="1011"/>
      <c r="BQ498" s="1011"/>
      <c r="BR498" s="1011"/>
      <c r="BS498" s="47"/>
    </row>
    <row r="499" spans="1:71" s="24" customFormat="1" ht="15" hidden="1" outlineLevel="2">
      <c r="A499" s="45" t="s">
        <v>511</v>
      </c>
      <c r="B499" s="494"/>
      <c r="C499" s="1011"/>
      <c r="D499" s="1011"/>
      <c r="E499" s="1011"/>
      <c r="F499" s="1012">
        <v>0</v>
      </c>
      <c r="G499" s="1012">
        <v>0</v>
      </c>
      <c r="H499" s="905">
        <v>0.0089999999999999993</v>
      </c>
      <c r="I499" s="905">
        <v>0.014</v>
      </c>
      <c r="J499" s="905">
        <v>0.0080000000000000002</v>
      </c>
      <c r="K499" s="905">
        <v>0.012999999999999999</v>
      </c>
      <c r="L499" s="1012">
        <v>0.010999999999999999</v>
      </c>
      <c r="M499" s="905">
        <v>0.01</v>
      </c>
      <c r="N499" s="905">
        <v>0.0070000000000000001</v>
      </c>
      <c r="O499" s="905">
        <v>0.016</v>
      </c>
      <c r="P499" s="905">
        <v>0.012999999999999999</v>
      </c>
      <c r="Q499" s="1012">
        <v>0.012</v>
      </c>
      <c r="R499" s="905">
        <v>0.01</v>
      </c>
      <c r="S499" s="905">
        <v>0.01</v>
      </c>
      <c r="T499" s="905">
        <v>0.01</v>
      </c>
      <c r="U499" s="905">
        <v>0.021000000000000001</v>
      </c>
      <c r="V499" s="1012">
        <v>0.012999999999999999</v>
      </c>
      <c r="W499" s="905">
        <v>0</v>
      </c>
      <c r="X499" s="905">
        <v>0</v>
      </c>
      <c r="Y499" s="905">
        <v>0.002</v>
      </c>
      <c r="Z499" s="905">
        <v>0</v>
      </c>
      <c r="AA499" s="1012">
        <v>0</v>
      </c>
      <c r="AB499" s="905">
        <v>0</v>
      </c>
      <c r="AC499" s="905">
        <v>0.002</v>
      </c>
      <c r="AD499" s="905">
        <v>0.002</v>
      </c>
      <c r="AE499" s="905">
        <v>-0.0060000000000000001</v>
      </c>
      <c r="AF499" s="1012">
        <v>-0.001</v>
      </c>
      <c r="AG499" s="905">
        <v>-0.0060000000000000001</v>
      </c>
      <c r="AH499" s="905">
        <v>0.0040000000000000001</v>
      </c>
      <c r="AI499" s="905">
        <v>-0.002</v>
      </c>
      <c r="AJ499" s="905">
        <v>0</v>
      </c>
      <c r="AK499" s="1012">
        <v>-0.001</v>
      </c>
      <c r="AL499" s="905">
        <v>-0.001</v>
      </c>
      <c r="AM499" s="905">
        <v>-0.002</v>
      </c>
      <c r="AN499" s="130"/>
      <c r="AO499" s="130"/>
      <c r="AP499" s="1011"/>
      <c r="AQ499" s="130"/>
      <c r="AR499" s="130"/>
      <c r="AS499" s="130"/>
      <c r="AT499" s="130"/>
      <c r="AU499" s="1011"/>
      <c r="AV499" s="130"/>
      <c r="AW499" s="130"/>
      <c r="AX499" s="130"/>
      <c r="AY499" s="130"/>
      <c r="AZ499" s="1011"/>
      <c r="BA499" s="130"/>
      <c r="BB499" s="130"/>
      <c r="BC499" s="130"/>
      <c r="BD499" s="130"/>
      <c r="BE499" s="1011"/>
      <c r="BF499" s="130"/>
      <c r="BG499" s="130"/>
      <c r="BH499" s="748"/>
      <c r="BI499" s="130"/>
      <c r="BJ499" s="1011"/>
      <c r="BK499" s="130"/>
      <c r="BL499" s="130"/>
      <c r="BM499" s="130"/>
      <c r="BN499" s="130"/>
      <c r="BO499" s="1011"/>
      <c r="BP499" s="1011"/>
      <c r="BQ499" s="1011"/>
      <c r="BR499" s="1011"/>
      <c r="BS499" s="47"/>
    </row>
    <row r="500" spans="1:71" s="24" customFormat="1" ht="15" hidden="1" outlineLevel="2">
      <c r="A500" s="45" t="s">
        <v>513</v>
      </c>
      <c r="B500" s="494"/>
      <c r="C500" s="1011"/>
      <c r="D500" s="1011"/>
      <c r="E500" s="1011"/>
      <c r="F500" s="1012">
        <v>-0.10100000000000001</v>
      </c>
      <c r="G500" s="1012">
        <v>-0.049000000000000002</v>
      </c>
      <c r="H500" s="905">
        <v>-0.035000000000000003</v>
      </c>
      <c r="I500" s="905">
        <v>-0.033000000000000002</v>
      </c>
      <c r="J500" s="905">
        <v>-0.032000000000000001</v>
      </c>
      <c r="K500" s="905">
        <v>-0.031</v>
      </c>
      <c r="L500" s="1012">
        <v>-0.033000000000000002</v>
      </c>
      <c r="M500" s="905">
        <v>-0.023</v>
      </c>
      <c r="N500" s="905">
        <v>-0.021999999999999999</v>
      </c>
      <c r="O500" s="905">
        <v>-0.02</v>
      </c>
      <c r="P500" s="905">
        <v>-0.021999999999999999</v>
      </c>
      <c r="Q500" s="1012">
        <v>-0.021999999999999999</v>
      </c>
      <c r="R500" s="905">
        <v>-0.015</v>
      </c>
      <c r="S500" s="905">
        <v>-0.017000000000000001</v>
      </c>
      <c r="T500" s="905">
        <v>-0.015</v>
      </c>
      <c r="U500" s="905">
        <v>-0.0089999999999999993</v>
      </c>
      <c r="V500" s="1012">
        <v>-0.014</v>
      </c>
      <c r="W500" s="905">
        <v>-0.0030000000000000001</v>
      </c>
      <c r="X500" s="905">
        <v>0</v>
      </c>
      <c r="Y500" s="905">
        <v>-0.002</v>
      </c>
      <c r="Z500" s="905">
        <v>-0.002</v>
      </c>
      <c r="AA500" s="1012">
        <v>-0.002</v>
      </c>
      <c r="AB500" s="905">
        <v>-0.002</v>
      </c>
      <c r="AC500" s="905">
        <v>0</v>
      </c>
      <c r="AD500" s="905">
        <v>-0.002</v>
      </c>
      <c r="AE500" s="905">
        <v>-0.002</v>
      </c>
      <c r="AF500" s="1012">
        <v>-0.001</v>
      </c>
      <c r="AG500" s="905">
        <v>-0.002</v>
      </c>
      <c r="AH500" s="905">
        <v>0</v>
      </c>
      <c r="AI500" s="905">
        <v>0</v>
      </c>
      <c r="AJ500" s="905">
        <v>-0.002</v>
      </c>
      <c r="AK500" s="1012">
        <v>-0.001</v>
      </c>
      <c r="AL500" s="905">
        <v>0</v>
      </c>
      <c r="AM500" s="905">
        <v>-0.002</v>
      </c>
      <c r="AN500" s="130"/>
      <c r="AO500" s="130"/>
      <c r="AP500" s="1011"/>
      <c r="AQ500" s="130"/>
      <c r="AR500" s="130"/>
      <c r="AS500" s="130"/>
      <c r="AT500" s="130"/>
      <c r="AU500" s="1011"/>
      <c r="AV500" s="130"/>
      <c r="AW500" s="130"/>
      <c r="AX500" s="130"/>
      <c r="AY500" s="130"/>
      <c r="AZ500" s="1011"/>
      <c r="BA500" s="130"/>
      <c r="BB500" s="130"/>
      <c r="BC500" s="130"/>
      <c r="BD500" s="130"/>
      <c r="BE500" s="1011"/>
      <c r="BF500" s="130"/>
      <c r="BG500" s="130"/>
      <c r="BH500" s="748"/>
      <c r="BI500" s="130"/>
      <c r="BJ500" s="1011"/>
      <c r="BK500" s="130"/>
      <c r="BL500" s="130"/>
      <c r="BM500" s="130"/>
      <c r="BN500" s="130"/>
      <c r="BO500" s="1011"/>
      <c r="BP500" s="1011"/>
      <c r="BQ500" s="1011"/>
      <c r="BR500" s="1011"/>
      <c r="BS500" s="47"/>
    </row>
    <row r="501" spans="1:71" s="24" customFormat="1" ht="15" hidden="1" outlineLevel="2">
      <c r="A501" s="63" t="s">
        <v>514</v>
      </c>
      <c r="B501" s="495"/>
      <c r="C501" s="1029"/>
      <c r="D501" s="1029"/>
      <c r="E501" s="1029"/>
      <c r="F501" s="1029"/>
      <c r="G501" s="1028">
        <v>0</v>
      </c>
      <c r="H501" s="343"/>
      <c r="I501" s="343"/>
      <c r="J501" s="911">
        <v>0</v>
      </c>
      <c r="K501" s="911">
        <v>0</v>
      </c>
      <c r="L501" s="1029"/>
      <c r="M501" s="343"/>
      <c r="N501" s="343"/>
      <c r="O501" s="343"/>
      <c r="P501" s="343"/>
      <c r="Q501" s="1029"/>
      <c r="R501" s="911">
        <v>0</v>
      </c>
      <c r="S501" s="911">
        <v>0</v>
      </c>
      <c r="T501" s="911">
        <v>0</v>
      </c>
      <c r="U501" s="911">
        <v>0</v>
      </c>
      <c r="V501" s="1028">
        <v>0</v>
      </c>
      <c r="W501" s="911">
        <v>0</v>
      </c>
      <c r="X501" s="911">
        <v>0</v>
      </c>
      <c r="Y501" s="911">
        <v>0</v>
      </c>
      <c r="Z501" s="911">
        <v>0</v>
      </c>
      <c r="AA501" s="1028">
        <v>0</v>
      </c>
      <c r="AB501" s="911">
        <v>0</v>
      </c>
      <c r="AC501" s="343"/>
      <c r="AD501" s="911">
        <v>0</v>
      </c>
      <c r="AE501" s="911">
        <v>0</v>
      </c>
      <c r="AF501" s="1028">
        <v>0</v>
      </c>
      <c r="AG501" s="911">
        <v>0</v>
      </c>
      <c r="AH501" s="911">
        <v>0</v>
      </c>
      <c r="AI501" s="911">
        <v>0</v>
      </c>
      <c r="AJ501" s="911">
        <v>-0.096000000000000002</v>
      </c>
      <c r="AK501" s="1028">
        <v>-0.025</v>
      </c>
      <c r="AL501" s="911">
        <v>0</v>
      </c>
      <c r="AM501" s="911">
        <v>0</v>
      </c>
      <c r="AN501" s="343"/>
      <c r="AO501" s="343"/>
      <c r="AP501" s="1029"/>
      <c r="AQ501" s="343"/>
      <c r="AR501" s="343"/>
      <c r="AS501" s="343"/>
      <c r="AT501" s="343"/>
      <c r="AU501" s="1029"/>
      <c r="AV501" s="343"/>
      <c r="AW501" s="343"/>
      <c r="AX501" s="343"/>
      <c r="AY501" s="343"/>
      <c r="AZ501" s="1029"/>
      <c r="BA501" s="343"/>
      <c r="BB501" s="343"/>
      <c r="BC501" s="343"/>
      <c r="BD501" s="343"/>
      <c r="BE501" s="1029"/>
      <c r="BF501" s="343"/>
      <c r="BG501" s="343"/>
      <c r="BH501" s="762"/>
      <c r="BI501" s="343"/>
      <c r="BJ501" s="1029"/>
      <c r="BK501" s="343"/>
      <c r="BL501" s="343"/>
      <c r="BM501" s="343"/>
      <c r="BN501" s="343"/>
      <c r="BO501" s="1029"/>
      <c r="BP501" s="1029"/>
      <c r="BQ501" s="1029"/>
      <c r="BR501" s="1029"/>
      <c r="BS501" s="47"/>
    </row>
    <row r="502" spans="1:71" s="25" customFormat="1" ht="15" hidden="1" outlineLevel="2">
      <c r="A502" s="43" t="s">
        <v>512</v>
      </c>
      <c r="B502" s="496"/>
      <c r="C502" s="1016"/>
      <c r="D502" s="1016"/>
      <c r="E502" s="1016"/>
      <c r="F502" s="1015">
        <f t="shared" si="1633" ref="F502">SUM(F497:F501)</f>
        <v>1.0815522233712513</v>
      </c>
      <c r="G502" s="1015">
        <f t="shared" si="1634" ref="G502">SUM(G497:G501)</f>
        <v>1.1168195669607059</v>
      </c>
      <c r="H502" s="158">
        <f t="shared" si="1635" ref="H502">SUM(H497:H501)</f>
        <v>1.2421370262390672</v>
      </c>
      <c r="I502" s="158">
        <f t="shared" si="1636" ref="I502">SUM(I497:I501)</f>
        <v>1.0769508196721314</v>
      </c>
      <c r="J502" s="158">
        <f t="shared" si="1637" ref="J502">SUM(J497:J501)</f>
        <v>1.1232198391420911</v>
      </c>
      <c r="K502" s="158">
        <f t="shared" si="1638" ref="K502">SUM(K497:K501)</f>
        <v>1.1338556430446194</v>
      </c>
      <c r="L502" s="1015">
        <f t="shared" si="1639" ref="L502">SUM(L497:L501)</f>
        <v>1.1420334928229665</v>
      </c>
      <c r="M502" s="158">
        <f t="shared" si="1640" ref="M502">SUM(M497:M501)</f>
        <v>1.1652945736434108</v>
      </c>
      <c r="N502" s="158">
        <f t="shared" si="1641" ref="N502">SUM(N497:N501)</f>
        <v>1.0669900497512437</v>
      </c>
      <c r="O502" s="158">
        <f t="shared" si="1642" ref="O502">SUM(O497:O501)</f>
        <v>1.0531629072681703</v>
      </c>
      <c r="P502" s="158">
        <f t="shared" si="1643" ref="P502">SUM(P497:P501)</f>
        <v>1.0529999999999999</v>
      </c>
      <c r="Q502" s="1015">
        <f t="shared" si="1644" ref="Q502">SUM(Q497:Q501)</f>
        <v>1.0842745591939547</v>
      </c>
      <c r="R502" s="158">
        <f t="shared" si="1645" ref="R502">SUM(R497:R501)</f>
        <v>1.0498811881188121</v>
      </c>
      <c r="S502" s="158">
        <f t="shared" si="1646" ref="S502">SUM(S497:S501)</f>
        <v>1.048156626506024</v>
      </c>
      <c r="T502" s="158">
        <f t="shared" si="1647" ref="T502">SUM(T497:T501)</f>
        <v>1.060086124401914</v>
      </c>
      <c r="U502" s="158">
        <f t="shared" si="1648" ref="U502">SUM(U497:U501)</f>
        <v>1.0496453900709219</v>
      </c>
      <c r="V502" s="1015">
        <f t="shared" si="1649" ref="V502">SUM(V497:V501)</f>
        <v>1.0516987951807226</v>
      </c>
      <c r="W502" s="158">
        <f t="shared" si="1650" ref="W502">SUM(W497:W501)</f>
        <v>1.0018663484486876</v>
      </c>
      <c r="X502" s="158">
        <f t="shared" si="1651" ref="X502">SUM(X497:X501)</f>
        <v>1.0046060606060605</v>
      </c>
      <c r="Y502" s="158">
        <f t="shared" si="1652" ref="Y502">SUM(Y497:Y501)</f>
        <v>1.0049814814814815</v>
      </c>
      <c r="Z502" s="158">
        <f t="shared" si="1653" ref="Z502">SUM(Z497:Z501)</f>
        <v>0.99831481481481488</v>
      </c>
      <c r="AA502" s="1015">
        <f t="shared" si="1654" ref="AA502">SUM(AA497:AA501)</f>
        <v>1.0017102803738318</v>
      </c>
      <c r="AB502" s="158">
        <f t="shared" si="1655" ref="AB502">SUM(AB497:AB501)</f>
        <v>0.98407159353348728</v>
      </c>
      <c r="AC502" s="158">
        <f t="shared" si="1656" ref="AC502">SUM(AC497:AC501)</f>
        <v>0.959438444924406</v>
      </c>
      <c r="AD502" s="158">
        <f t="shared" si="1657" ref="AD502">SUM(AD497:AD501)</f>
        <v>0.99187682672233823</v>
      </c>
      <c r="AE502" s="158">
        <f t="shared" si="1658" ref="AE502">SUM(AE497:AE501)</f>
        <v>0.99821862348178136</v>
      </c>
      <c r="AF502" s="1015">
        <f t="shared" si="1659" ref="AF502">SUM(AF497:AF501)</f>
        <v>0.9833761369716425</v>
      </c>
      <c r="AG502" s="158">
        <f t="shared" si="1660" ref="AG502:AK502">SUM(AG497:AG501)</f>
        <v>0.97402390438247011</v>
      </c>
      <c r="AH502" s="158">
        <f t="shared" si="1660"/>
        <v>0.96171428571428574</v>
      </c>
      <c r="AI502" s="158">
        <f t="shared" si="1660"/>
        <v>0.97936363636363621</v>
      </c>
      <c r="AJ502" s="158">
        <f t="shared" si="1660"/>
        <v>0.96354887218045115</v>
      </c>
      <c r="AK502" s="1015">
        <f t="shared" si="1660"/>
        <v>0.96960373742213701</v>
      </c>
      <c r="AL502" s="158">
        <f>SUM(AL497:AL501)</f>
        <v>0.95639113680154142</v>
      </c>
      <c r="AM502" s="158">
        <f>SUM(AM497:AM501)</f>
        <v>0.82433269598470371</v>
      </c>
      <c r="AN502" s="393"/>
      <c r="AO502" s="393"/>
      <c r="AP502" s="1016"/>
      <c r="AQ502" s="393"/>
      <c r="AR502" s="393"/>
      <c r="AS502" s="393"/>
      <c r="AT502" s="393"/>
      <c r="AU502" s="1016"/>
      <c r="AV502" s="393"/>
      <c r="AW502" s="393"/>
      <c r="AX502" s="393"/>
      <c r="AY502" s="393"/>
      <c r="AZ502" s="1016"/>
      <c r="BA502" s="393"/>
      <c r="BB502" s="393"/>
      <c r="BC502" s="393"/>
      <c r="BD502" s="393"/>
      <c r="BE502" s="1016"/>
      <c r="BF502" s="393"/>
      <c r="BG502" s="393"/>
      <c r="BH502" s="751"/>
      <c r="BI502" s="393"/>
      <c r="BJ502" s="1016"/>
      <c r="BK502" s="393"/>
      <c r="BL502" s="393"/>
      <c r="BM502" s="393"/>
      <c r="BN502" s="393"/>
      <c r="BO502" s="1016"/>
      <c r="BP502" s="1016"/>
      <c r="BQ502" s="1016"/>
      <c r="BR502" s="1016"/>
      <c r="BS502" s="158"/>
    </row>
    <row r="503" spans="1:71" s="17" customFormat="1" ht="15" hidden="1" outlineLevel="1">
      <c r="A503" s="492"/>
      <c r="B503" s="493"/>
      <c r="C503" s="1027"/>
      <c r="D503" s="1027"/>
      <c r="E503" s="1027"/>
      <c r="F503" s="1027"/>
      <c r="G503" s="1027"/>
      <c r="H503" s="843"/>
      <c r="I503" s="843"/>
      <c r="J503" s="843"/>
      <c r="K503" s="843"/>
      <c r="L503" s="1027"/>
      <c r="M503" s="843"/>
      <c r="N503" s="843"/>
      <c r="O503" s="843"/>
      <c r="P503" s="843"/>
      <c r="Q503" s="1027"/>
      <c r="R503" s="843"/>
      <c r="S503" s="843"/>
      <c r="T503" s="843"/>
      <c r="U503" s="843"/>
      <c r="V503" s="1027"/>
      <c r="W503" s="843"/>
      <c r="X503" s="843"/>
      <c r="Y503" s="843"/>
      <c r="Z503" s="843"/>
      <c r="AA503" s="1027"/>
      <c r="AB503" s="843"/>
      <c r="AC503" s="843"/>
      <c r="AD503" s="843"/>
      <c r="AE503" s="843"/>
      <c r="AF503" s="1027"/>
      <c r="AG503" s="843"/>
      <c r="AH503" s="843"/>
      <c r="AI503" s="843"/>
      <c r="AJ503" s="843"/>
      <c r="AK503" s="1027"/>
      <c r="AL503" s="843"/>
      <c r="AM503" s="843"/>
      <c r="AN503" s="843"/>
      <c r="AO503" s="843"/>
      <c r="AP503" s="1027"/>
      <c r="AQ503" s="843"/>
      <c r="AR503" s="843"/>
      <c r="AS503" s="843"/>
      <c r="AT503" s="843"/>
      <c r="AU503" s="1027"/>
      <c r="AV503" s="843"/>
      <c r="AW503" s="843"/>
      <c r="AX503" s="843"/>
      <c r="AY503" s="843"/>
      <c r="AZ503" s="1027"/>
      <c r="BA503" s="843"/>
      <c r="BB503" s="843"/>
      <c r="BC503" s="843"/>
      <c r="BD503" s="843"/>
      <c r="BE503" s="1027"/>
      <c r="BF503" s="843"/>
      <c r="BG503" s="843"/>
      <c r="BH503" s="844"/>
      <c r="BI503" s="843"/>
      <c r="BJ503" s="1027"/>
      <c r="BK503" s="843"/>
      <c r="BL503" s="843"/>
      <c r="BM503" s="843"/>
      <c r="BN503" s="843"/>
      <c r="BO503" s="1027"/>
      <c r="BP503" s="1027"/>
      <c r="BQ503" s="1027"/>
      <c r="BR503" s="1027"/>
      <c r="BS503" s="457"/>
    </row>
    <row r="504" spans="1:71" s="17" customFormat="1" ht="15" hidden="1" outlineLevel="1">
      <c r="A504" s="818" t="s">
        <v>831</v>
      </c>
      <c r="B504" s="818"/>
      <c r="C504" s="837"/>
      <c r="D504" s="837"/>
      <c r="E504" s="837"/>
      <c r="F504" s="837"/>
      <c r="G504" s="837"/>
      <c r="H504" s="837"/>
      <c r="I504" s="837"/>
      <c r="J504" s="837"/>
      <c r="K504" s="837"/>
      <c r="L504" s="837"/>
      <c r="M504" s="837"/>
      <c r="N504" s="837"/>
      <c r="O504" s="837"/>
      <c r="P504" s="837"/>
      <c r="Q504" s="837"/>
      <c r="R504" s="837"/>
      <c r="S504" s="837"/>
      <c r="T504" s="837"/>
      <c r="U504" s="837"/>
      <c r="V504" s="837"/>
      <c r="W504" s="837"/>
      <c r="X504" s="837"/>
      <c r="Y504" s="837"/>
      <c r="Z504" s="837"/>
      <c r="AA504" s="837"/>
      <c r="AB504" s="837"/>
      <c r="AC504" s="837"/>
      <c r="AD504" s="837"/>
      <c r="AE504" s="837"/>
      <c r="AF504" s="837"/>
      <c r="AG504" s="837"/>
      <c r="AH504" s="837"/>
      <c r="AI504" s="837"/>
      <c r="AJ504" s="837"/>
      <c r="AK504" s="837"/>
      <c r="AL504" s="837"/>
      <c r="AM504" s="837"/>
      <c r="AN504" s="837"/>
      <c r="AO504" s="837"/>
      <c r="AP504" s="837"/>
      <c r="AQ504" s="837"/>
      <c r="AR504" s="837"/>
      <c r="AS504" s="837"/>
      <c r="AT504" s="837"/>
      <c r="AU504" s="837"/>
      <c r="AV504" s="837"/>
      <c r="AW504" s="837"/>
      <c r="AX504" s="837"/>
      <c r="AY504" s="837"/>
      <c r="AZ504" s="837"/>
      <c r="BA504" s="837"/>
      <c r="BB504" s="837"/>
      <c r="BC504" s="837"/>
      <c r="BD504" s="837"/>
      <c r="BE504" s="837"/>
      <c r="BF504" s="837"/>
      <c r="BG504" s="837"/>
      <c r="BH504" s="838"/>
      <c r="BI504" s="837"/>
      <c r="BJ504" s="837"/>
      <c r="BK504" s="837"/>
      <c r="BL504" s="837"/>
      <c r="BM504" s="837"/>
      <c r="BN504" s="837"/>
      <c r="BO504" s="837"/>
      <c r="BP504" s="837"/>
      <c r="BQ504" s="837"/>
      <c r="BR504" s="837"/>
      <c r="BS504" s="457"/>
    </row>
    <row r="505" spans="1:71" s="300" customFormat="1" ht="15" hidden="1" outlineLevel="2">
      <c r="A505" s="304" t="s">
        <v>515</v>
      </c>
      <c r="B505" s="233"/>
      <c r="C505" s="989"/>
      <c r="D505" s="989"/>
      <c r="E505" s="989"/>
      <c r="F505" s="988">
        <v>609</v>
      </c>
      <c r="G505" s="988">
        <v>626</v>
      </c>
      <c r="H505" s="897">
        <v>161</v>
      </c>
      <c r="I505" s="897">
        <v>162</v>
      </c>
      <c r="J505" s="897">
        <v>168</v>
      </c>
      <c r="K505" s="897">
        <v>164</v>
      </c>
      <c r="L505" s="993">
        <f>SUM(H505,I505,J505,K505)</f>
        <v>655</v>
      </c>
      <c r="M505" s="897">
        <v>165</v>
      </c>
      <c r="N505" s="897">
        <v>165</v>
      </c>
      <c r="O505" s="897">
        <v>165</v>
      </c>
      <c r="P505" s="897">
        <v>162</v>
      </c>
      <c r="Q505" s="993">
        <f>SUM(M505,N505,O505,P505)</f>
        <v>657</v>
      </c>
      <c r="R505" s="897">
        <v>159</v>
      </c>
      <c r="S505" s="897">
        <v>158</v>
      </c>
      <c r="T505" s="897">
        <v>155</v>
      </c>
      <c r="U505" s="897">
        <v>151</v>
      </c>
      <c r="V505" s="993">
        <f>SUM(R505,S505,T505,U505)</f>
        <v>623</v>
      </c>
      <c r="W505" s="897">
        <v>146</v>
      </c>
      <c r="X505" s="897">
        <v>143</v>
      </c>
      <c r="Y505" s="897">
        <v>140</v>
      </c>
      <c r="Z505" s="897">
        <v>137</v>
      </c>
      <c r="AA505" s="993">
        <f>SUM(W505,X505,Y505,Z505)</f>
        <v>566</v>
      </c>
      <c r="AB505" s="897">
        <v>134</v>
      </c>
      <c r="AC505" s="897">
        <v>135</v>
      </c>
      <c r="AD505" s="897">
        <v>133</v>
      </c>
      <c r="AE505" s="897">
        <v>135</v>
      </c>
      <c r="AF505" s="993">
        <f>SUM(AB505,AC505,AD505,AE505)</f>
        <v>537</v>
      </c>
      <c r="AG505" s="897">
        <v>134</v>
      </c>
      <c r="AH505" s="897">
        <v>135</v>
      </c>
      <c r="AI505" s="897">
        <v>136</v>
      </c>
      <c r="AJ505" s="897">
        <v>134</v>
      </c>
      <c r="AK505" s="993">
        <f>SUM(AG505,AH505,AI505,AJ505)</f>
        <v>539</v>
      </c>
      <c r="AL505" s="897">
        <v>135</v>
      </c>
      <c r="AM505" s="897">
        <v>135</v>
      </c>
      <c r="AN505" s="897">
        <v>129</v>
      </c>
      <c r="AO505" s="897">
        <v>126</v>
      </c>
      <c r="AP505" s="993">
        <f>SUM(AL505,AM505,AN505,AO505)</f>
        <v>525</v>
      </c>
      <c r="AQ505" s="92"/>
      <c r="AR505" s="92"/>
      <c r="AS505" s="92"/>
      <c r="AT505" s="92"/>
      <c r="AU505" s="989"/>
      <c r="AV505" s="92"/>
      <c r="AW505" s="92"/>
      <c r="AX505" s="92"/>
      <c r="AY505" s="92"/>
      <c r="AZ505" s="989"/>
      <c r="BA505" s="92"/>
      <c r="BB505" s="92"/>
      <c r="BC505" s="92"/>
      <c r="BD505" s="92"/>
      <c r="BE505" s="989"/>
      <c r="BF505" s="92"/>
      <c r="BG505" s="92"/>
      <c r="BH505" s="464"/>
      <c r="BI505" s="92"/>
      <c r="BJ505" s="989"/>
      <c r="BK505" s="92"/>
      <c r="BL505" s="92"/>
      <c r="BM505" s="92"/>
      <c r="BN505" s="92"/>
      <c r="BO505" s="989"/>
      <c r="BP505" s="989"/>
      <c r="BQ505" s="989"/>
      <c r="BR505" s="989"/>
      <c r="BS505" s="305"/>
    </row>
    <row r="506" spans="1:71" s="300" customFormat="1" ht="15" hidden="1" outlineLevel="2">
      <c r="A506" s="304" t="s">
        <v>516</v>
      </c>
      <c r="B506" s="233"/>
      <c r="C506" s="989"/>
      <c r="D506" s="989"/>
      <c r="E506" s="989"/>
      <c r="F506" s="988">
        <v>379</v>
      </c>
      <c r="G506" s="988">
        <v>430</v>
      </c>
      <c r="H506" s="897">
        <v>117</v>
      </c>
      <c r="I506" s="897">
        <v>120</v>
      </c>
      <c r="J506" s="897">
        <v>123</v>
      </c>
      <c r="K506" s="897">
        <v>126</v>
      </c>
      <c r="L506" s="993">
        <f>SUM(H506,I506,J506,K506)</f>
        <v>486</v>
      </c>
      <c r="M506" s="897">
        <v>127</v>
      </c>
      <c r="N506" s="897">
        <v>126</v>
      </c>
      <c r="O506" s="897">
        <v>127</v>
      </c>
      <c r="P506" s="897">
        <v>124</v>
      </c>
      <c r="Q506" s="993">
        <f>SUM(M506,N506,O506,P506)</f>
        <v>504</v>
      </c>
      <c r="R506" s="897">
        <v>124</v>
      </c>
      <c r="S506" s="897">
        <v>121</v>
      </c>
      <c r="T506" s="897">
        <v>119</v>
      </c>
      <c r="U506" s="897">
        <v>115</v>
      </c>
      <c r="V506" s="993">
        <f>SUM(R506,S506,T506,U506)</f>
        <v>479</v>
      </c>
      <c r="W506" s="897">
        <v>113</v>
      </c>
      <c r="X506" s="897">
        <v>108</v>
      </c>
      <c r="Y506" s="897">
        <v>106</v>
      </c>
      <c r="Z506" s="897">
        <v>104</v>
      </c>
      <c r="AA506" s="993">
        <f>SUM(W506,X506,Y506,Z506)</f>
        <v>431</v>
      </c>
      <c r="AB506" s="897">
        <v>101</v>
      </c>
      <c r="AC506" s="897">
        <v>100</v>
      </c>
      <c r="AD506" s="897">
        <v>100</v>
      </c>
      <c r="AE506" s="897">
        <v>101</v>
      </c>
      <c r="AF506" s="993">
        <f>SUM(AB506,AC506,AD506,AE506)</f>
        <v>402</v>
      </c>
      <c r="AG506" s="897">
        <v>99</v>
      </c>
      <c r="AH506" s="897">
        <v>99</v>
      </c>
      <c r="AI506" s="897">
        <v>101</v>
      </c>
      <c r="AJ506" s="897">
        <v>100</v>
      </c>
      <c r="AK506" s="993">
        <f>SUM(AG506,AH506,AI506,AJ506)</f>
        <v>399</v>
      </c>
      <c r="AL506" s="897">
        <v>101</v>
      </c>
      <c r="AM506" s="897">
        <v>99</v>
      </c>
      <c r="AN506" s="897">
        <v>99</v>
      </c>
      <c r="AO506" s="897">
        <v>97</v>
      </c>
      <c r="AP506" s="993">
        <f>SUM(AL506,AM506,AN506,AO506)</f>
        <v>396</v>
      </c>
      <c r="AQ506" s="92"/>
      <c r="AR506" s="92"/>
      <c r="AS506" s="92"/>
      <c r="AT506" s="92"/>
      <c r="AU506" s="989"/>
      <c r="AV506" s="92"/>
      <c r="AW506" s="92"/>
      <c r="AX506" s="92"/>
      <c r="AY506" s="92"/>
      <c r="AZ506" s="989"/>
      <c r="BA506" s="92"/>
      <c r="BB506" s="92"/>
      <c r="BC506" s="92"/>
      <c r="BD506" s="92"/>
      <c r="BE506" s="989"/>
      <c r="BF506" s="92"/>
      <c r="BG506" s="92"/>
      <c r="BH506" s="464"/>
      <c r="BI506" s="92"/>
      <c r="BJ506" s="989"/>
      <c r="BK506" s="92"/>
      <c r="BL506" s="92"/>
      <c r="BM506" s="92"/>
      <c r="BN506" s="92"/>
      <c r="BO506" s="989"/>
      <c r="BP506" s="989"/>
      <c r="BQ506" s="989"/>
      <c r="BR506" s="989"/>
      <c r="BS506" s="305"/>
    </row>
    <row r="507" spans="1:71" s="300" customFormat="1" ht="15" hidden="1" outlineLevel="2">
      <c r="A507" s="110" t="s">
        <v>517</v>
      </c>
      <c r="B507" s="113"/>
      <c r="C507" s="995"/>
      <c r="D507" s="995"/>
      <c r="E507" s="995"/>
      <c r="F507" s="990">
        <v>93</v>
      </c>
      <c r="G507" s="990">
        <v>100</v>
      </c>
      <c r="H507" s="900">
        <v>26</v>
      </c>
      <c r="I507" s="900">
        <v>26</v>
      </c>
      <c r="J507" s="900">
        <v>27</v>
      </c>
      <c r="K507" s="900">
        <v>27</v>
      </c>
      <c r="L507" s="998">
        <f>SUM(H507,I507,J507,K507)</f>
        <v>106</v>
      </c>
      <c r="M507" s="900">
        <v>27</v>
      </c>
      <c r="N507" s="900">
        <v>27</v>
      </c>
      <c r="O507" s="900">
        <v>27</v>
      </c>
      <c r="P507" s="900">
        <v>27</v>
      </c>
      <c r="Q507" s="998">
        <f>SUM(M507,N507,O507,P507)</f>
        <v>108</v>
      </c>
      <c r="R507" s="900">
        <v>26</v>
      </c>
      <c r="S507" s="900">
        <v>25</v>
      </c>
      <c r="T507" s="900">
        <v>25</v>
      </c>
      <c r="U507" s="900">
        <v>24</v>
      </c>
      <c r="V507" s="998">
        <f>SUM(R507,S507,T507,U507)</f>
        <v>100</v>
      </c>
      <c r="W507" s="900">
        <v>24</v>
      </c>
      <c r="X507" s="900">
        <v>23</v>
      </c>
      <c r="Y507" s="900">
        <v>23</v>
      </c>
      <c r="Z507" s="900">
        <v>23</v>
      </c>
      <c r="AA507" s="998">
        <f>SUM(W507,X507,Y507,Z507)</f>
        <v>93</v>
      </c>
      <c r="AB507" s="900">
        <v>22</v>
      </c>
      <c r="AC507" s="900">
        <v>21</v>
      </c>
      <c r="AD507" s="900">
        <v>21</v>
      </c>
      <c r="AE507" s="900">
        <v>20</v>
      </c>
      <c r="AF507" s="998">
        <f>SUM(AB507,AC507,AD507,AE507)</f>
        <v>84</v>
      </c>
      <c r="AG507" s="900">
        <v>20</v>
      </c>
      <c r="AH507" s="900">
        <v>20</v>
      </c>
      <c r="AI507" s="900">
        <v>20</v>
      </c>
      <c r="AJ507" s="900">
        <v>20</v>
      </c>
      <c r="AK507" s="998">
        <f>SUM(AG507,AH507,AI507,AJ507)</f>
        <v>80</v>
      </c>
      <c r="AL507" s="900">
        <v>20</v>
      </c>
      <c r="AM507" s="900">
        <v>19</v>
      </c>
      <c r="AN507" s="900">
        <v>20</v>
      </c>
      <c r="AO507" s="900">
        <v>19</v>
      </c>
      <c r="AP507" s="998">
        <f>SUM(AL507,AM507,AN507,AO507)</f>
        <v>78</v>
      </c>
      <c r="AQ507" s="115"/>
      <c r="AR507" s="115"/>
      <c r="AS507" s="115"/>
      <c r="AT507" s="115"/>
      <c r="AU507" s="995"/>
      <c r="AV507" s="115"/>
      <c r="AW507" s="115"/>
      <c r="AX507" s="115"/>
      <c r="AY507" s="115"/>
      <c r="AZ507" s="995"/>
      <c r="BA507" s="115"/>
      <c r="BB507" s="115"/>
      <c r="BC507" s="115"/>
      <c r="BD507" s="115"/>
      <c r="BE507" s="995"/>
      <c r="BF507" s="115"/>
      <c r="BG507" s="115"/>
      <c r="BH507" s="641"/>
      <c r="BI507" s="115"/>
      <c r="BJ507" s="995"/>
      <c r="BK507" s="115"/>
      <c r="BL507" s="115"/>
      <c r="BM507" s="115"/>
      <c r="BN507" s="115"/>
      <c r="BO507" s="995"/>
      <c r="BP507" s="995"/>
      <c r="BQ507" s="995"/>
      <c r="BR507" s="995"/>
      <c r="BS507" s="305"/>
    </row>
    <row r="508" spans="1:71" s="51" customFormat="1" ht="15" hidden="1" outlineLevel="2">
      <c r="A508" s="109" t="s">
        <v>518</v>
      </c>
      <c r="B508" s="391"/>
      <c r="C508" s="1000"/>
      <c r="D508" s="1000"/>
      <c r="E508" s="1000"/>
      <c r="F508" s="999">
        <f t="shared" si="1661" ref="F508">SUM(F505:F507)</f>
        <v>1081</v>
      </c>
      <c r="G508" s="999">
        <f t="shared" si="1662" ref="G508">SUM(G505:G507)</f>
        <v>1156</v>
      </c>
      <c r="H508" s="57">
        <f t="shared" si="1663" ref="H508">SUM(H505:H507)</f>
        <v>304</v>
      </c>
      <c r="I508" s="57">
        <f t="shared" si="1664" ref="I508">SUM(I505:I507)</f>
        <v>308</v>
      </c>
      <c r="J508" s="57">
        <f t="shared" si="1665" ref="J508">SUM(J505:J507)</f>
        <v>318</v>
      </c>
      <c r="K508" s="57">
        <f t="shared" si="1666" ref="K508:L508">SUM(K505:K507)</f>
        <v>317</v>
      </c>
      <c r="L508" s="999">
        <f t="shared" si="1666"/>
        <v>1247</v>
      </c>
      <c r="M508" s="57">
        <f t="shared" si="1667" ref="M508">SUM(M505:M507)</f>
        <v>319</v>
      </c>
      <c r="N508" s="57">
        <f t="shared" si="1668" ref="N508">SUM(N505:N507)</f>
        <v>318</v>
      </c>
      <c r="O508" s="57">
        <f t="shared" si="1669" ref="O508">SUM(O505:O507)</f>
        <v>319</v>
      </c>
      <c r="P508" s="57">
        <f t="shared" si="1670" ref="P508:Q508">SUM(P505:P507)</f>
        <v>313</v>
      </c>
      <c r="Q508" s="999">
        <f t="shared" si="1670"/>
        <v>1269</v>
      </c>
      <c r="R508" s="57">
        <f t="shared" si="1671" ref="R508">SUM(R505:R507)</f>
        <v>309</v>
      </c>
      <c r="S508" s="57">
        <f t="shared" si="1672" ref="S508">SUM(S505:S507)</f>
        <v>304</v>
      </c>
      <c r="T508" s="57">
        <f t="shared" si="1673" ref="T508">SUM(T505:T507)</f>
        <v>299</v>
      </c>
      <c r="U508" s="57">
        <f t="shared" si="1674" ref="U508:V508">SUM(U505:U507)</f>
        <v>290</v>
      </c>
      <c r="V508" s="999">
        <f t="shared" si="1674"/>
        <v>1202</v>
      </c>
      <c r="W508" s="57">
        <f t="shared" si="1675" ref="W508">SUM(W505:W507)</f>
        <v>283</v>
      </c>
      <c r="X508" s="57">
        <f t="shared" si="1676" ref="X508">SUM(X505:X507)</f>
        <v>274</v>
      </c>
      <c r="Y508" s="57">
        <f t="shared" si="1677" ref="Y508">SUM(Y505:Y507)</f>
        <v>269</v>
      </c>
      <c r="Z508" s="57">
        <f t="shared" si="1678" ref="Z508">SUM(Z505:Z507)</f>
        <v>264</v>
      </c>
      <c r="AA508" s="999">
        <f t="shared" si="1679" ref="AA508">SUM(AA505:AA507)</f>
        <v>1090</v>
      </c>
      <c r="AB508" s="57">
        <f t="shared" si="1680" ref="AB508">SUM(AB505:AB507)</f>
        <v>257</v>
      </c>
      <c r="AC508" s="57">
        <f t="shared" si="1681" ref="AC508">SUM(AC505:AC507)</f>
        <v>256</v>
      </c>
      <c r="AD508" s="57">
        <f t="shared" si="1682" ref="AD508">SUM(AD505:AD507)</f>
        <v>254</v>
      </c>
      <c r="AE508" s="57">
        <f t="shared" si="1683" ref="AE508">SUM(AE505:AE507)</f>
        <v>256</v>
      </c>
      <c r="AF508" s="999">
        <f t="shared" si="1684" ref="AF508:AK508">SUM(AF505:AF507)</f>
        <v>1023</v>
      </c>
      <c r="AG508" s="57">
        <f t="shared" si="1684"/>
        <v>253</v>
      </c>
      <c r="AH508" s="57">
        <f t="shared" si="1684"/>
        <v>254</v>
      </c>
      <c r="AI508" s="57">
        <f t="shared" si="1684"/>
        <v>257</v>
      </c>
      <c r="AJ508" s="57">
        <f t="shared" si="1684"/>
        <v>254</v>
      </c>
      <c r="AK508" s="999">
        <f t="shared" si="1684"/>
        <v>1018</v>
      </c>
      <c r="AL508" s="57">
        <f>SUM(AL505:AL507)</f>
        <v>256</v>
      </c>
      <c r="AM508" s="57">
        <f>SUM(AM505:AM507)</f>
        <v>253</v>
      </c>
      <c r="AN508" s="57">
        <f>SUM(AN505:AN507)</f>
        <v>248</v>
      </c>
      <c r="AO508" s="57">
        <f t="shared" si="1685" ref="AO508:AP508">SUM(AO505:AO507)</f>
        <v>242</v>
      </c>
      <c r="AP508" s="999">
        <f t="shared" si="1685"/>
        <v>999</v>
      </c>
      <c r="AQ508" s="128"/>
      <c r="AR508" s="128"/>
      <c r="AS508" s="128"/>
      <c r="AT508" s="128"/>
      <c r="AU508" s="1000"/>
      <c r="AV508" s="128"/>
      <c r="AW508" s="128"/>
      <c r="AX508" s="128"/>
      <c r="AY508" s="128"/>
      <c r="AZ508" s="1000"/>
      <c r="BA508" s="128"/>
      <c r="BB508" s="128"/>
      <c r="BC508" s="128"/>
      <c r="BD508" s="128"/>
      <c r="BE508" s="1000"/>
      <c r="BF508" s="128"/>
      <c r="BG508" s="128"/>
      <c r="BH508" s="465"/>
      <c r="BI508" s="128"/>
      <c r="BJ508" s="1000"/>
      <c r="BK508" s="128"/>
      <c r="BL508" s="128"/>
      <c r="BM508" s="128"/>
      <c r="BN508" s="128"/>
      <c r="BO508" s="1000"/>
      <c r="BP508" s="1000"/>
      <c r="BQ508" s="1000"/>
      <c r="BR508" s="1000"/>
      <c r="BS508" s="57"/>
    </row>
    <row r="509" spans="1:71" s="300" customFormat="1" ht="15" hidden="1" outlineLevel="2">
      <c r="A509" s="304" t="s">
        <v>519</v>
      </c>
      <c r="B509" s="233"/>
      <c r="C509" s="989"/>
      <c r="D509" s="989"/>
      <c r="E509" s="989"/>
      <c r="F509" s="989"/>
      <c r="G509" s="989"/>
      <c r="H509" s="92"/>
      <c r="I509" s="92"/>
      <c r="J509" s="92"/>
      <c r="K509" s="92"/>
      <c r="L509" s="993">
        <f>SUM(H509,I509,J509,K509)</f>
        <v>0</v>
      </c>
      <c r="M509" s="92"/>
      <c r="N509" s="92"/>
      <c r="O509" s="92"/>
      <c r="P509" s="92"/>
      <c r="Q509" s="993">
        <f>SUM(M509,N509,O509,P509)</f>
        <v>0</v>
      </c>
      <c r="R509" s="92"/>
      <c r="S509" s="92"/>
      <c r="T509" s="92"/>
      <c r="U509" s="92"/>
      <c r="V509" s="993">
        <f>SUM(R509,S509,T509,U509)</f>
        <v>0</v>
      </c>
      <c r="W509" s="897">
        <v>1</v>
      </c>
      <c r="X509" s="897">
        <v>1</v>
      </c>
      <c r="Y509" s="897">
        <v>1</v>
      </c>
      <c r="Z509" s="897">
        <v>0</v>
      </c>
      <c r="AA509" s="993">
        <f>SUM(W509,X509,Y509,Z509)</f>
        <v>3</v>
      </c>
      <c r="AB509" s="897">
        <v>1</v>
      </c>
      <c r="AC509" s="897">
        <v>1</v>
      </c>
      <c r="AD509" s="897">
        <v>0</v>
      </c>
      <c r="AE509" s="897">
        <v>1</v>
      </c>
      <c r="AF509" s="993">
        <f>SUM(AB509,AC509,AD509,AE509)</f>
        <v>3</v>
      </c>
      <c r="AG509" s="897">
        <v>1</v>
      </c>
      <c r="AH509" s="897">
        <v>0</v>
      </c>
      <c r="AI509" s="897">
        <v>2</v>
      </c>
      <c r="AJ509" s="897">
        <v>0</v>
      </c>
      <c r="AK509" s="993">
        <f>SUM(AG509,AH509,AI509,AJ509)</f>
        <v>3</v>
      </c>
      <c r="AL509" s="897">
        <v>1</v>
      </c>
      <c r="AM509" s="897">
        <v>0</v>
      </c>
      <c r="AN509" s="897">
        <v>1</v>
      </c>
      <c r="AO509" s="897">
        <v>1</v>
      </c>
      <c r="AP509" s="993">
        <f>SUM(AL509,AM509,AN509,AO509)</f>
        <v>3</v>
      </c>
      <c r="AQ509" s="92"/>
      <c r="AR509" s="92"/>
      <c r="AS509" s="92"/>
      <c r="AT509" s="92"/>
      <c r="AU509" s="989"/>
      <c r="AV509" s="92"/>
      <c r="AW509" s="92"/>
      <c r="AX509" s="92"/>
      <c r="AY509" s="92"/>
      <c r="AZ509" s="989"/>
      <c r="BA509" s="92"/>
      <c r="BB509" s="92"/>
      <c r="BC509" s="92"/>
      <c r="BD509" s="92"/>
      <c r="BE509" s="989"/>
      <c r="BF509" s="92"/>
      <c r="BG509" s="92"/>
      <c r="BH509" s="464"/>
      <c r="BI509" s="92"/>
      <c r="BJ509" s="989"/>
      <c r="BK509" s="92"/>
      <c r="BL509" s="92"/>
      <c r="BM509" s="92"/>
      <c r="BN509" s="92"/>
      <c r="BO509" s="989"/>
      <c r="BP509" s="989"/>
      <c r="BQ509" s="989"/>
      <c r="BR509" s="989"/>
      <c r="BS509" s="305"/>
    </row>
    <row r="510" spans="1:71" s="300" customFormat="1" ht="15" hidden="1" outlineLevel="2">
      <c r="A510" s="304" t="s">
        <v>520</v>
      </c>
      <c r="B510" s="233"/>
      <c r="C510" s="989"/>
      <c r="D510" s="989"/>
      <c r="E510" s="989"/>
      <c r="F510" s="989"/>
      <c r="G510" s="989"/>
      <c r="H510" s="92"/>
      <c r="I510" s="92"/>
      <c r="J510" s="92"/>
      <c r="K510" s="92"/>
      <c r="L510" s="993">
        <f>SUM(H510,I510,J510,K510)</f>
        <v>0</v>
      </c>
      <c r="M510" s="92"/>
      <c r="N510" s="92"/>
      <c r="O510" s="92"/>
      <c r="P510" s="92"/>
      <c r="Q510" s="993">
        <f>SUM(M510,N510,O510,P510)</f>
        <v>0</v>
      </c>
      <c r="R510" s="92"/>
      <c r="S510" s="92"/>
      <c r="T510" s="92"/>
      <c r="U510" s="92"/>
      <c r="V510" s="993">
        <f>SUM(R510,S510,T510,U510)</f>
        <v>0</v>
      </c>
      <c r="W510" s="897">
        <v>1</v>
      </c>
      <c r="X510" s="897">
        <v>0</v>
      </c>
      <c r="Y510" s="897">
        <v>0</v>
      </c>
      <c r="Z510" s="897">
        <v>1</v>
      </c>
      <c r="AA510" s="993">
        <f>SUM(W510,X510,Y510,Z510)</f>
        <v>2</v>
      </c>
      <c r="AB510" s="897">
        <v>0</v>
      </c>
      <c r="AC510" s="897">
        <v>1</v>
      </c>
      <c r="AD510" s="897">
        <v>1</v>
      </c>
      <c r="AE510" s="897">
        <v>0</v>
      </c>
      <c r="AF510" s="993">
        <f>SUM(AB510,AC510,AD510,AE510)</f>
        <v>2</v>
      </c>
      <c r="AG510" s="897">
        <v>0</v>
      </c>
      <c r="AH510" s="897">
        <v>1</v>
      </c>
      <c r="AI510" s="897">
        <v>0</v>
      </c>
      <c r="AJ510" s="897">
        <v>1</v>
      </c>
      <c r="AK510" s="993">
        <f>SUM(AG510,AH510,AI510,AJ510)</f>
        <v>2</v>
      </c>
      <c r="AL510" s="897">
        <v>0</v>
      </c>
      <c r="AM510" s="897">
        <v>1</v>
      </c>
      <c r="AN510" s="897">
        <v>0</v>
      </c>
      <c r="AO510" s="897">
        <v>1</v>
      </c>
      <c r="AP510" s="993">
        <f>SUM(AL510,AM510,AN510,AO510)</f>
        <v>2</v>
      </c>
      <c r="AQ510" s="92"/>
      <c r="AR510" s="92"/>
      <c r="AS510" s="92"/>
      <c r="AT510" s="92"/>
      <c r="AU510" s="989"/>
      <c r="AV510" s="92"/>
      <c r="AW510" s="92"/>
      <c r="AX510" s="92"/>
      <c r="AY510" s="92"/>
      <c r="AZ510" s="989"/>
      <c r="BA510" s="92"/>
      <c r="BB510" s="92"/>
      <c r="BC510" s="92"/>
      <c r="BD510" s="92"/>
      <c r="BE510" s="989"/>
      <c r="BF510" s="92"/>
      <c r="BG510" s="92"/>
      <c r="BH510" s="464"/>
      <c r="BI510" s="92"/>
      <c r="BJ510" s="989"/>
      <c r="BK510" s="92"/>
      <c r="BL510" s="92"/>
      <c r="BM510" s="92"/>
      <c r="BN510" s="92"/>
      <c r="BO510" s="989"/>
      <c r="BP510" s="989"/>
      <c r="BQ510" s="989"/>
      <c r="BR510" s="989"/>
      <c r="BS510" s="305"/>
    </row>
    <row r="511" spans="1:71" s="300" customFormat="1" ht="15" hidden="1" outlineLevel="2">
      <c r="A511" s="110" t="s">
        <v>540</v>
      </c>
      <c r="B511" s="113"/>
      <c r="C511" s="995"/>
      <c r="D511" s="995"/>
      <c r="E511" s="995"/>
      <c r="F511" s="995"/>
      <c r="G511" s="995"/>
      <c r="H511" s="115"/>
      <c r="I511" s="115"/>
      <c r="J511" s="115"/>
      <c r="K511" s="115"/>
      <c r="L511" s="998">
        <f>SUM(H511,I511,J511,K511)</f>
        <v>0</v>
      </c>
      <c r="M511" s="115"/>
      <c r="N511" s="115"/>
      <c r="O511" s="115"/>
      <c r="P511" s="115"/>
      <c r="Q511" s="998">
        <f>SUM(M511,N511,O511,P511)</f>
        <v>0</v>
      </c>
      <c r="R511" s="115"/>
      <c r="S511" s="115"/>
      <c r="T511" s="115"/>
      <c r="U511" s="115"/>
      <c r="V511" s="998">
        <f>SUM(R511,S511,T511,U511)</f>
        <v>0</v>
      </c>
      <c r="W511" s="900">
        <v>0</v>
      </c>
      <c r="X511" s="900">
        <v>0</v>
      </c>
      <c r="Y511" s="900">
        <v>0</v>
      </c>
      <c r="Z511" s="900">
        <v>1</v>
      </c>
      <c r="AA511" s="998">
        <f>SUM(W511,X511,Y511,Z511)</f>
        <v>1</v>
      </c>
      <c r="AB511" s="115"/>
      <c r="AC511" s="115"/>
      <c r="AD511" s="115"/>
      <c r="AE511" s="115"/>
      <c r="AF511" s="995"/>
      <c r="AG511" s="115"/>
      <c r="AH511" s="115"/>
      <c r="AI511" s="115"/>
      <c r="AJ511" s="115"/>
      <c r="AK511" s="995"/>
      <c r="AL511" s="115"/>
      <c r="AM511" s="115"/>
      <c r="AN511" s="115"/>
      <c r="AO511" s="115"/>
      <c r="AP511" s="995"/>
      <c r="AQ511" s="115"/>
      <c r="AR511" s="115"/>
      <c r="AS511" s="115"/>
      <c r="AT511" s="115"/>
      <c r="AU511" s="995"/>
      <c r="AV511" s="115"/>
      <c r="AW511" s="115"/>
      <c r="AX511" s="115"/>
      <c r="AY511" s="115"/>
      <c r="AZ511" s="995"/>
      <c r="BA511" s="115"/>
      <c r="BB511" s="115"/>
      <c r="BC511" s="115"/>
      <c r="BD511" s="115"/>
      <c r="BE511" s="995"/>
      <c r="BF511" s="115"/>
      <c r="BG511" s="115"/>
      <c r="BH511" s="641"/>
      <c r="BI511" s="115"/>
      <c r="BJ511" s="995"/>
      <c r="BK511" s="115"/>
      <c r="BL511" s="115"/>
      <c r="BM511" s="115"/>
      <c r="BN511" s="115"/>
      <c r="BO511" s="995"/>
      <c r="BP511" s="995"/>
      <c r="BQ511" s="995"/>
      <c r="BR511" s="995"/>
      <c r="BS511" s="305"/>
    </row>
    <row r="512" spans="1:71" s="51" customFormat="1" ht="15" hidden="1" outlineLevel="2">
      <c r="A512" s="109" t="s">
        <v>521</v>
      </c>
      <c r="B512" s="391"/>
      <c r="C512" s="1000"/>
      <c r="D512" s="1000"/>
      <c r="E512" s="1000"/>
      <c r="F512" s="999">
        <f t="shared" si="1686" ref="F512:Y512">SUM(F509:F511)</f>
        <v>0</v>
      </c>
      <c r="G512" s="999">
        <f t="shared" si="1686"/>
        <v>0</v>
      </c>
      <c r="H512" s="57">
        <f t="shared" si="1686"/>
        <v>0</v>
      </c>
      <c r="I512" s="57">
        <f t="shared" si="1686"/>
        <v>0</v>
      </c>
      <c r="J512" s="57">
        <f t="shared" si="1686"/>
        <v>0</v>
      </c>
      <c r="K512" s="57">
        <f t="shared" si="1686"/>
        <v>0</v>
      </c>
      <c r="L512" s="999">
        <f t="shared" si="1687" ref="L512">SUM(L509:L511)</f>
        <v>0</v>
      </c>
      <c r="M512" s="57">
        <f t="shared" si="1686"/>
        <v>0</v>
      </c>
      <c r="N512" s="57">
        <f t="shared" si="1686"/>
        <v>0</v>
      </c>
      <c r="O512" s="57">
        <f t="shared" si="1686"/>
        <v>0</v>
      </c>
      <c r="P512" s="57">
        <f t="shared" si="1686"/>
        <v>0</v>
      </c>
      <c r="Q512" s="999">
        <f t="shared" si="1686"/>
        <v>0</v>
      </c>
      <c r="R512" s="57">
        <f t="shared" si="1686"/>
        <v>0</v>
      </c>
      <c r="S512" s="57">
        <f t="shared" si="1686"/>
        <v>0</v>
      </c>
      <c r="T512" s="57">
        <f t="shared" si="1686"/>
        <v>0</v>
      </c>
      <c r="U512" s="57">
        <f t="shared" si="1686"/>
        <v>0</v>
      </c>
      <c r="V512" s="999">
        <f t="shared" si="1686"/>
        <v>0</v>
      </c>
      <c r="W512" s="57">
        <f t="shared" si="1686"/>
        <v>2</v>
      </c>
      <c r="X512" s="57">
        <f t="shared" si="1686"/>
        <v>1</v>
      </c>
      <c r="Y512" s="57">
        <f t="shared" si="1686"/>
        <v>1</v>
      </c>
      <c r="Z512" s="57">
        <f>SUM(Z509:Z511)</f>
        <v>2</v>
      </c>
      <c r="AA512" s="999">
        <f t="shared" si="1688" ref="AA512:AL512">SUM(AA509:AA511)</f>
        <v>6</v>
      </c>
      <c r="AB512" s="57">
        <f t="shared" si="1688"/>
        <v>1</v>
      </c>
      <c r="AC512" s="57">
        <f t="shared" si="1688"/>
        <v>2</v>
      </c>
      <c r="AD512" s="57">
        <f t="shared" si="1688"/>
        <v>1</v>
      </c>
      <c r="AE512" s="57">
        <f t="shared" si="1688"/>
        <v>1</v>
      </c>
      <c r="AF512" s="999">
        <f t="shared" si="1688"/>
        <v>5</v>
      </c>
      <c r="AG512" s="57">
        <f t="shared" si="1688"/>
        <v>1</v>
      </c>
      <c r="AH512" s="57">
        <f t="shared" si="1688"/>
        <v>1</v>
      </c>
      <c r="AI512" s="57">
        <f t="shared" si="1688"/>
        <v>2</v>
      </c>
      <c r="AJ512" s="57">
        <f t="shared" si="1688"/>
        <v>1</v>
      </c>
      <c r="AK512" s="999">
        <f t="shared" si="1688"/>
        <v>5</v>
      </c>
      <c r="AL512" s="57">
        <f t="shared" si="1688"/>
        <v>1</v>
      </c>
      <c r="AM512" s="57">
        <f>SUM(AM509:AM511)</f>
        <v>1</v>
      </c>
      <c r="AN512" s="57">
        <f>SUM(AN509:AN511)</f>
        <v>1</v>
      </c>
      <c r="AO512" s="57">
        <f t="shared" si="1689" ref="AO512:AP512">SUM(AO509:AO511)</f>
        <v>2</v>
      </c>
      <c r="AP512" s="999">
        <f t="shared" si="1689"/>
        <v>5</v>
      </c>
      <c r="AQ512" s="128"/>
      <c r="AR512" s="128"/>
      <c r="AS512" s="128"/>
      <c r="AT512" s="128"/>
      <c r="AU512" s="1000"/>
      <c r="AV512" s="128"/>
      <c r="AW512" s="128"/>
      <c r="AX512" s="128"/>
      <c r="AY512" s="128"/>
      <c r="AZ512" s="1000"/>
      <c r="BA512" s="128"/>
      <c r="BB512" s="128"/>
      <c r="BC512" s="128"/>
      <c r="BD512" s="128"/>
      <c r="BE512" s="1000"/>
      <c r="BF512" s="128"/>
      <c r="BG512" s="128"/>
      <c r="BH512" s="465"/>
      <c r="BI512" s="128"/>
      <c r="BJ512" s="1000"/>
      <c r="BK512" s="128"/>
      <c r="BL512" s="128"/>
      <c r="BM512" s="128"/>
      <c r="BN512" s="128"/>
      <c r="BO512" s="1000"/>
      <c r="BP512" s="1000"/>
      <c r="BQ512" s="1000"/>
      <c r="BR512" s="1000"/>
      <c r="BS512" s="57"/>
    </row>
    <row r="513" spans="1:71" s="300" customFormat="1" ht="15" hidden="1" outlineLevel="2">
      <c r="A513" s="304" t="s">
        <v>522</v>
      </c>
      <c r="B513" s="233"/>
      <c r="C513" s="989"/>
      <c r="D513" s="989"/>
      <c r="E513" s="989"/>
      <c r="F513" s="988">
        <v>478</v>
      </c>
      <c r="G513" s="988">
        <v>460</v>
      </c>
      <c r="H513" s="897">
        <v>114</v>
      </c>
      <c r="I513" s="897">
        <v>134</v>
      </c>
      <c r="J513" s="897">
        <v>131</v>
      </c>
      <c r="K513" s="897">
        <v>126</v>
      </c>
      <c r="L513" s="993">
        <f>SUM(H513,I513,J513,K513)</f>
        <v>505</v>
      </c>
      <c r="M513" s="897">
        <v>116</v>
      </c>
      <c r="N513" s="897">
        <v>129</v>
      </c>
      <c r="O513" s="897">
        <v>135</v>
      </c>
      <c r="P513" s="897">
        <v>126</v>
      </c>
      <c r="Q513" s="993">
        <f>SUM(M513,N513,O513,P513)</f>
        <v>506</v>
      </c>
      <c r="R513" s="897">
        <v>123</v>
      </c>
      <c r="S513" s="897">
        <v>130</v>
      </c>
      <c r="T513" s="897">
        <v>117</v>
      </c>
      <c r="U513" s="897">
        <v>104</v>
      </c>
      <c r="V513" s="993">
        <f>SUM(R513,S513,T513,U513)</f>
        <v>474</v>
      </c>
      <c r="W513" s="897">
        <v>104</v>
      </c>
      <c r="X513" s="897">
        <v>105</v>
      </c>
      <c r="Y513" s="897">
        <v>91</v>
      </c>
      <c r="Z513" s="897">
        <v>88</v>
      </c>
      <c r="AA513" s="993">
        <f>SUM(W513,X513,Y513,Z513)</f>
        <v>388</v>
      </c>
      <c r="AB513" s="897">
        <v>85</v>
      </c>
      <c r="AC513" s="897">
        <v>82</v>
      </c>
      <c r="AD513" s="897">
        <v>83</v>
      </c>
      <c r="AE513" s="897">
        <v>99</v>
      </c>
      <c r="AF513" s="993">
        <f>SUM(AB513,AC513,AD513,AE513)</f>
        <v>349</v>
      </c>
      <c r="AG513" s="897">
        <v>91</v>
      </c>
      <c r="AH513" s="897">
        <v>87</v>
      </c>
      <c r="AI513" s="897">
        <v>94</v>
      </c>
      <c r="AJ513" s="897">
        <v>88</v>
      </c>
      <c r="AK513" s="993">
        <f>SUM(AG513,AH513,AI513,AJ513)</f>
        <v>360</v>
      </c>
      <c r="AL513" s="897">
        <v>90</v>
      </c>
      <c r="AM513" s="897">
        <v>46</v>
      </c>
      <c r="AN513" s="897">
        <v>77</v>
      </c>
      <c r="AO513" s="897">
        <v>85</v>
      </c>
      <c r="AP513" s="993">
        <f>SUM(AL513,AM513,AN513,AO513)</f>
        <v>298</v>
      </c>
      <c r="AQ513" s="92"/>
      <c r="AR513" s="92"/>
      <c r="AS513" s="92"/>
      <c r="AT513" s="92"/>
      <c r="AU513" s="989"/>
      <c r="AV513" s="92"/>
      <c r="AW513" s="92"/>
      <c r="AX513" s="92"/>
      <c r="AY513" s="92"/>
      <c r="AZ513" s="989"/>
      <c r="BA513" s="92"/>
      <c r="BB513" s="92"/>
      <c r="BC513" s="92"/>
      <c r="BD513" s="92"/>
      <c r="BE513" s="989"/>
      <c r="BF513" s="92"/>
      <c r="BG513" s="92"/>
      <c r="BH513" s="464"/>
      <c r="BI513" s="92"/>
      <c r="BJ513" s="989"/>
      <c r="BK513" s="92"/>
      <c r="BL513" s="92"/>
      <c r="BM513" s="92"/>
      <c r="BN513" s="92"/>
      <c r="BO513" s="989"/>
      <c r="BP513" s="989"/>
      <c r="BQ513" s="989"/>
      <c r="BR513" s="989"/>
      <c r="BS513" s="305"/>
    </row>
    <row r="514" spans="1:71" s="300" customFormat="1" ht="15" hidden="1" outlineLevel="2">
      <c r="A514" s="304" t="s">
        <v>523</v>
      </c>
      <c r="B514" s="233"/>
      <c r="C514" s="989"/>
      <c r="D514" s="989"/>
      <c r="E514" s="989"/>
      <c r="F514" s="988">
        <v>290</v>
      </c>
      <c r="G514" s="988">
        <v>242</v>
      </c>
      <c r="H514" s="897">
        <v>86</v>
      </c>
      <c r="I514" s="897">
        <v>118</v>
      </c>
      <c r="J514" s="897">
        <v>103</v>
      </c>
      <c r="K514" s="897">
        <v>56</v>
      </c>
      <c r="L514" s="993">
        <f>SUM(H514,I514,J514,K514)</f>
        <v>363</v>
      </c>
      <c r="M514" s="897">
        <v>74</v>
      </c>
      <c r="N514" s="897">
        <v>117</v>
      </c>
      <c r="O514" s="897">
        <v>75</v>
      </c>
      <c r="P514" s="897">
        <v>61</v>
      </c>
      <c r="Q514" s="993">
        <f>SUM(M514,N514,O514,P514)</f>
        <v>327</v>
      </c>
      <c r="R514" s="897">
        <v>85</v>
      </c>
      <c r="S514" s="897">
        <v>85</v>
      </c>
      <c r="T514" s="897">
        <v>74</v>
      </c>
      <c r="U514" s="897">
        <v>60</v>
      </c>
      <c r="V514" s="993">
        <f>SUM(R514,S514,T514,U514)</f>
        <v>304</v>
      </c>
      <c r="W514" s="897">
        <v>108</v>
      </c>
      <c r="X514" s="897">
        <v>84</v>
      </c>
      <c r="Y514" s="897">
        <v>54</v>
      </c>
      <c r="Z514" s="897">
        <v>100</v>
      </c>
      <c r="AA514" s="993">
        <f>SUM(W514,X514,Y514,Z514)</f>
        <v>346</v>
      </c>
      <c r="AB514" s="897">
        <v>65</v>
      </c>
      <c r="AC514" s="897">
        <v>75</v>
      </c>
      <c r="AD514" s="897">
        <v>70</v>
      </c>
      <c r="AE514" s="897">
        <v>58</v>
      </c>
      <c r="AF514" s="993">
        <f>SUM(AB514,AC514,AD514,AE514)</f>
        <v>268</v>
      </c>
      <c r="AG514" s="897">
        <v>72</v>
      </c>
      <c r="AH514" s="897">
        <v>66</v>
      </c>
      <c r="AI514" s="897">
        <v>82</v>
      </c>
      <c r="AJ514" s="897">
        <v>52</v>
      </c>
      <c r="AK514" s="993">
        <f>SUM(AG514,AH514,AI514,AJ514)</f>
        <v>272</v>
      </c>
      <c r="AL514" s="897">
        <v>55</v>
      </c>
      <c r="AM514" s="897">
        <v>90</v>
      </c>
      <c r="AN514" s="897">
        <v>41</v>
      </c>
      <c r="AO514" s="897">
        <v>60</v>
      </c>
      <c r="AP514" s="993">
        <f>SUM(AL514,AM514,AN514,AO514)</f>
        <v>246</v>
      </c>
      <c r="AQ514" s="92"/>
      <c r="AR514" s="92"/>
      <c r="AS514" s="92"/>
      <c r="AT514" s="92"/>
      <c r="AU514" s="989"/>
      <c r="AV514" s="92"/>
      <c r="AW514" s="92"/>
      <c r="AX514" s="92"/>
      <c r="AY514" s="92"/>
      <c r="AZ514" s="989"/>
      <c r="BA514" s="92"/>
      <c r="BB514" s="92"/>
      <c r="BC514" s="92"/>
      <c r="BD514" s="92"/>
      <c r="BE514" s="989"/>
      <c r="BF514" s="92"/>
      <c r="BG514" s="92"/>
      <c r="BH514" s="464"/>
      <c r="BI514" s="92"/>
      <c r="BJ514" s="989"/>
      <c r="BK514" s="92"/>
      <c r="BL514" s="92"/>
      <c r="BM514" s="92"/>
      <c r="BN514" s="92"/>
      <c r="BO514" s="989"/>
      <c r="BP514" s="989"/>
      <c r="BQ514" s="989"/>
      <c r="BR514" s="989"/>
      <c r="BS514" s="305"/>
    </row>
    <row r="515" spans="1:71" s="300" customFormat="1" ht="15" hidden="1" outlineLevel="2">
      <c r="A515" s="110" t="s">
        <v>524</v>
      </c>
      <c r="B515" s="113"/>
      <c r="C515" s="995"/>
      <c r="D515" s="995"/>
      <c r="E515" s="995"/>
      <c r="F515" s="990">
        <v>63</v>
      </c>
      <c r="G515" s="990">
        <v>54</v>
      </c>
      <c r="H515" s="900">
        <v>21</v>
      </c>
      <c r="I515" s="900">
        <v>21</v>
      </c>
      <c r="J515" s="900">
        <v>20</v>
      </c>
      <c r="K515" s="900">
        <v>18</v>
      </c>
      <c r="L515" s="998">
        <f>SUM(H515,I515,J515,K515)</f>
        <v>80</v>
      </c>
      <c r="M515" s="900">
        <v>23</v>
      </c>
      <c r="N515" s="900">
        <v>27</v>
      </c>
      <c r="O515" s="900">
        <v>23</v>
      </c>
      <c r="P515" s="900">
        <v>27</v>
      </c>
      <c r="Q515" s="998">
        <f>SUM(M515,N515,O515,P515)</f>
        <v>100</v>
      </c>
      <c r="R515" s="900">
        <v>31</v>
      </c>
      <c r="S515" s="900">
        <v>16</v>
      </c>
      <c r="T515" s="900">
        <v>17</v>
      </c>
      <c r="U515" s="900">
        <v>13</v>
      </c>
      <c r="V515" s="998">
        <f>SUM(R515,S515,T515,U515)</f>
        <v>77</v>
      </c>
      <c r="W515" s="900">
        <v>21</v>
      </c>
      <c r="X515" s="900">
        <v>10</v>
      </c>
      <c r="Y515" s="900">
        <v>13</v>
      </c>
      <c r="Z515" s="900">
        <v>11</v>
      </c>
      <c r="AA515" s="998">
        <f>SUM(W515,X515,Y515,Z515)</f>
        <v>55</v>
      </c>
      <c r="AB515" s="900">
        <v>16</v>
      </c>
      <c r="AC515" s="900">
        <v>8</v>
      </c>
      <c r="AD515" s="900">
        <v>9</v>
      </c>
      <c r="AE515" s="900">
        <v>18</v>
      </c>
      <c r="AF515" s="998">
        <f>SUM(AB515,AC515,AD515,AE515)</f>
        <v>51</v>
      </c>
      <c r="AG515" s="900">
        <v>11</v>
      </c>
      <c r="AH515" s="900">
        <v>14</v>
      </c>
      <c r="AI515" s="900">
        <v>17</v>
      </c>
      <c r="AJ515" s="900">
        <v>15</v>
      </c>
      <c r="AK515" s="998">
        <f>SUM(AG515,AH515,AI515,AJ515)</f>
        <v>57</v>
      </c>
      <c r="AL515" s="900">
        <v>12</v>
      </c>
      <c r="AM515" s="900">
        <v>18</v>
      </c>
      <c r="AN515" s="900">
        <v>5</v>
      </c>
      <c r="AO515" s="900">
        <v>9</v>
      </c>
      <c r="AP515" s="998">
        <f>SUM(AL515,AM515,AN515,AO515)</f>
        <v>44</v>
      </c>
      <c r="AQ515" s="115"/>
      <c r="AR515" s="115"/>
      <c r="AS515" s="115"/>
      <c r="AT515" s="115"/>
      <c r="AU515" s="995"/>
      <c r="AV515" s="115"/>
      <c r="AW515" s="115"/>
      <c r="AX515" s="115"/>
      <c r="AY515" s="115"/>
      <c r="AZ515" s="995"/>
      <c r="BA515" s="115"/>
      <c r="BB515" s="115"/>
      <c r="BC515" s="115"/>
      <c r="BD515" s="115"/>
      <c r="BE515" s="995"/>
      <c r="BF515" s="115"/>
      <c r="BG515" s="115"/>
      <c r="BH515" s="641"/>
      <c r="BI515" s="115"/>
      <c r="BJ515" s="995"/>
      <c r="BK515" s="115"/>
      <c r="BL515" s="115"/>
      <c r="BM515" s="115"/>
      <c r="BN515" s="115"/>
      <c r="BO515" s="995"/>
      <c r="BP515" s="995"/>
      <c r="BQ515" s="995"/>
      <c r="BR515" s="995"/>
      <c r="BS515" s="305"/>
    </row>
    <row r="516" spans="1:71" s="51" customFormat="1" ht="15" hidden="1" outlineLevel="2">
      <c r="A516" s="109" t="s">
        <v>525</v>
      </c>
      <c r="B516" s="391"/>
      <c r="C516" s="1000"/>
      <c r="D516" s="1000"/>
      <c r="E516" s="1000"/>
      <c r="F516" s="999">
        <f t="shared" si="1690" ref="F516">SUM(F513:F515)</f>
        <v>831</v>
      </c>
      <c r="G516" s="999">
        <f t="shared" si="1691" ref="G516">SUM(G513:G515)</f>
        <v>756</v>
      </c>
      <c r="H516" s="57">
        <f t="shared" si="1692" ref="H516">SUM(H513:H515)</f>
        <v>221</v>
      </c>
      <c r="I516" s="57">
        <f t="shared" si="1693" ref="I516">SUM(I513:I515)</f>
        <v>273</v>
      </c>
      <c r="J516" s="57">
        <f t="shared" si="1694" ref="J516">SUM(J513:J515)</f>
        <v>254</v>
      </c>
      <c r="K516" s="57">
        <f t="shared" si="1695" ref="K516:L516">SUM(K513:K515)</f>
        <v>200</v>
      </c>
      <c r="L516" s="999">
        <f t="shared" si="1695"/>
        <v>948</v>
      </c>
      <c r="M516" s="57">
        <f t="shared" si="1696" ref="M516">SUM(M513:M515)</f>
        <v>213</v>
      </c>
      <c r="N516" s="57">
        <f t="shared" si="1697" ref="N516">SUM(N513:N515)</f>
        <v>273</v>
      </c>
      <c r="O516" s="57">
        <f t="shared" si="1698" ref="O516">SUM(O513:O515)</f>
        <v>233</v>
      </c>
      <c r="P516" s="57">
        <f t="shared" si="1699" ref="P516:Q516">SUM(P513:P515)</f>
        <v>214</v>
      </c>
      <c r="Q516" s="999">
        <f t="shared" si="1699"/>
        <v>933</v>
      </c>
      <c r="R516" s="57">
        <f t="shared" si="1700" ref="R516">SUM(R513:R515)</f>
        <v>239</v>
      </c>
      <c r="S516" s="57">
        <f t="shared" si="1701" ref="S516">SUM(S513:S515)</f>
        <v>231</v>
      </c>
      <c r="T516" s="57">
        <f t="shared" si="1702" ref="T516">SUM(T513:T515)</f>
        <v>208</v>
      </c>
      <c r="U516" s="57">
        <f t="shared" si="1703" ref="U516:V516">SUM(U513:U515)</f>
        <v>177</v>
      </c>
      <c r="V516" s="999">
        <f t="shared" si="1703"/>
        <v>855</v>
      </c>
      <c r="W516" s="57">
        <f t="shared" si="1704" ref="W516">SUM(W513:W515)</f>
        <v>233</v>
      </c>
      <c r="X516" s="57">
        <f t="shared" si="1705" ref="X516">SUM(X513:X515)</f>
        <v>199</v>
      </c>
      <c r="Y516" s="57">
        <f t="shared" si="1706" ref="Y516">SUM(Y513:Y515)</f>
        <v>158</v>
      </c>
      <c r="Z516" s="57">
        <f t="shared" si="1707" ref="Z516">SUM(Z513:Z515)</f>
        <v>199</v>
      </c>
      <c r="AA516" s="999">
        <f t="shared" si="1708" ref="AA516">SUM(AA513:AA515)</f>
        <v>789</v>
      </c>
      <c r="AB516" s="57">
        <f t="shared" si="1709" ref="AB516">SUM(AB513:AB515)</f>
        <v>166</v>
      </c>
      <c r="AC516" s="57">
        <f t="shared" si="1710" ref="AC516">SUM(AC513:AC515)</f>
        <v>165</v>
      </c>
      <c r="AD516" s="57">
        <f t="shared" si="1711" ref="AD516">SUM(AD513:AD515)</f>
        <v>162</v>
      </c>
      <c r="AE516" s="57">
        <f t="shared" si="1712" ref="AE516">SUM(AE513:AE515)</f>
        <v>175</v>
      </c>
      <c r="AF516" s="999">
        <f t="shared" si="1713" ref="AF516:AK516">SUM(AF513:AF515)</f>
        <v>668</v>
      </c>
      <c r="AG516" s="57">
        <f t="shared" si="1713"/>
        <v>174</v>
      </c>
      <c r="AH516" s="57">
        <f t="shared" si="1713"/>
        <v>167</v>
      </c>
      <c r="AI516" s="57">
        <f t="shared" si="1713"/>
        <v>193</v>
      </c>
      <c r="AJ516" s="57">
        <f t="shared" si="1713"/>
        <v>155</v>
      </c>
      <c r="AK516" s="999">
        <f t="shared" si="1713"/>
        <v>689</v>
      </c>
      <c r="AL516" s="57">
        <f>SUM(AL513:AL515)</f>
        <v>157</v>
      </c>
      <c r="AM516" s="57">
        <f>SUM(AM513:AM515)</f>
        <v>154</v>
      </c>
      <c r="AN516" s="57">
        <f>SUM(AN513:AN515)</f>
        <v>123</v>
      </c>
      <c r="AO516" s="57">
        <f t="shared" si="1714" ref="AO516:AP516">SUM(AO513:AO515)</f>
        <v>154</v>
      </c>
      <c r="AP516" s="999">
        <f t="shared" si="1714"/>
        <v>588</v>
      </c>
      <c r="AQ516" s="128"/>
      <c r="AR516" s="128"/>
      <c r="AS516" s="128"/>
      <c r="AT516" s="128"/>
      <c r="AU516" s="1000"/>
      <c r="AV516" s="128"/>
      <c r="AW516" s="128"/>
      <c r="AX516" s="128"/>
      <c r="AY516" s="128"/>
      <c r="AZ516" s="1000"/>
      <c r="BA516" s="128"/>
      <c r="BB516" s="128"/>
      <c r="BC516" s="128"/>
      <c r="BD516" s="128"/>
      <c r="BE516" s="1000"/>
      <c r="BF516" s="128"/>
      <c r="BG516" s="128"/>
      <c r="BH516" s="465"/>
      <c r="BI516" s="128"/>
      <c r="BJ516" s="1000"/>
      <c r="BK516" s="128"/>
      <c r="BL516" s="128"/>
      <c r="BM516" s="128"/>
      <c r="BN516" s="128"/>
      <c r="BO516" s="1000"/>
      <c r="BP516" s="1000"/>
      <c r="BQ516" s="1000"/>
      <c r="BR516" s="1000"/>
      <c r="BS516" s="57"/>
    </row>
    <row r="517" spans="1:71" s="300" customFormat="1" ht="15" hidden="1" outlineLevel="2">
      <c r="A517" s="304" t="s">
        <v>526</v>
      </c>
      <c r="B517" s="233"/>
      <c r="C517" s="989"/>
      <c r="D517" s="989"/>
      <c r="E517" s="989"/>
      <c r="F517" s="988">
        <v>178</v>
      </c>
      <c r="G517" s="988">
        <v>191</v>
      </c>
      <c r="H517" s="897">
        <v>48</v>
      </c>
      <c r="I517" s="897">
        <v>50</v>
      </c>
      <c r="J517" s="897">
        <v>50</v>
      </c>
      <c r="K517" s="897">
        <v>48</v>
      </c>
      <c r="L517" s="993">
        <f>SUM(H517,I517,J517,K517)</f>
        <v>196</v>
      </c>
      <c r="M517" s="897">
        <v>47</v>
      </c>
      <c r="N517" s="897">
        <v>50</v>
      </c>
      <c r="O517" s="897">
        <v>46</v>
      </c>
      <c r="P517" s="897">
        <v>44</v>
      </c>
      <c r="Q517" s="993">
        <f>SUM(M517,N517,O517,P517)</f>
        <v>187</v>
      </c>
      <c r="R517" s="897">
        <v>45</v>
      </c>
      <c r="S517" s="897">
        <v>45</v>
      </c>
      <c r="T517" s="897">
        <v>44</v>
      </c>
      <c r="U517" s="897">
        <v>44</v>
      </c>
      <c r="V517" s="993">
        <f>SUM(R517,S517,T517,U517)</f>
        <v>178</v>
      </c>
      <c r="W517" s="897">
        <v>44</v>
      </c>
      <c r="X517" s="897">
        <v>47</v>
      </c>
      <c r="Y517" s="897">
        <v>44</v>
      </c>
      <c r="Z517" s="897">
        <v>42</v>
      </c>
      <c r="AA517" s="993">
        <f>SUM(W517,X517,Y517,Z517)</f>
        <v>177</v>
      </c>
      <c r="AB517" s="897">
        <v>45</v>
      </c>
      <c r="AC517" s="897">
        <v>45</v>
      </c>
      <c r="AD517" s="897">
        <v>42</v>
      </c>
      <c r="AE517" s="897">
        <v>45</v>
      </c>
      <c r="AF517" s="993">
        <f>SUM(AB517,AC517,AD517,AE517)</f>
        <v>177</v>
      </c>
      <c r="AG517" s="897">
        <v>45</v>
      </c>
      <c r="AH517" s="897">
        <v>42</v>
      </c>
      <c r="AI517" s="897">
        <v>43</v>
      </c>
      <c r="AJ517" s="897">
        <v>44</v>
      </c>
      <c r="AK517" s="993">
        <f>SUM(AG517,AH517,AI517,AJ517)</f>
        <v>174</v>
      </c>
      <c r="AL517" s="897">
        <v>48</v>
      </c>
      <c r="AM517" s="897">
        <v>57</v>
      </c>
      <c r="AN517" s="897">
        <v>44</v>
      </c>
      <c r="AO517" s="897">
        <v>41</v>
      </c>
      <c r="AP517" s="993">
        <f>SUM(AL517,AM517,AN517,AO517)</f>
        <v>190</v>
      </c>
      <c r="AQ517" s="92"/>
      <c r="AR517" s="92"/>
      <c r="AS517" s="92"/>
      <c r="AT517" s="92"/>
      <c r="AU517" s="989"/>
      <c r="AV517" s="92"/>
      <c r="AW517" s="92"/>
      <c r="AX517" s="92"/>
      <c r="AY517" s="92"/>
      <c r="AZ517" s="989"/>
      <c r="BA517" s="92"/>
      <c r="BB517" s="92"/>
      <c r="BC517" s="92"/>
      <c r="BD517" s="92"/>
      <c r="BE517" s="989"/>
      <c r="BF517" s="92"/>
      <c r="BG517" s="92"/>
      <c r="BH517" s="464"/>
      <c r="BI517" s="92"/>
      <c r="BJ517" s="989"/>
      <c r="BK517" s="92"/>
      <c r="BL517" s="92"/>
      <c r="BM517" s="92"/>
      <c r="BN517" s="92"/>
      <c r="BO517" s="989"/>
      <c r="BP517" s="989"/>
      <c r="BQ517" s="989"/>
      <c r="BR517" s="989"/>
      <c r="BS517" s="305"/>
    </row>
    <row r="518" spans="1:71" s="300" customFormat="1" ht="15" hidden="1" outlineLevel="2">
      <c r="A518" s="304" t="s">
        <v>527</v>
      </c>
      <c r="B518" s="233"/>
      <c r="C518" s="989"/>
      <c r="D518" s="989"/>
      <c r="E518" s="989"/>
      <c r="F518" s="988">
        <v>117</v>
      </c>
      <c r="G518" s="988">
        <v>134</v>
      </c>
      <c r="H518" s="897">
        <v>35</v>
      </c>
      <c r="I518" s="897">
        <v>37</v>
      </c>
      <c r="J518" s="897">
        <v>37</v>
      </c>
      <c r="K518" s="897">
        <v>38</v>
      </c>
      <c r="L518" s="993">
        <f>SUM(H518,I518,J518,K518)</f>
        <v>147</v>
      </c>
      <c r="M518" s="897">
        <v>37</v>
      </c>
      <c r="N518" s="897">
        <v>38</v>
      </c>
      <c r="O518" s="897">
        <v>36</v>
      </c>
      <c r="P518" s="897">
        <v>34</v>
      </c>
      <c r="Q518" s="993">
        <f>SUM(M518,N518,O518,P518)</f>
        <v>145</v>
      </c>
      <c r="R518" s="897">
        <v>36</v>
      </c>
      <c r="S518" s="897">
        <v>36</v>
      </c>
      <c r="T518" s="897">
        <v>34</v>
      </c>
      <c r="U518" s="897">
        <v>33</v>
      </c>
      <c r="V518" s="993">
        <f>SUM(R518,S518,T518,U518)</f>
        <v>139</v>
      </c>
      <c r="W518" s="897">
        <v>34</v>
      </c>
      <c r="X518" s="897">
        <v>34</v>
      </c>
      <c r="Y518" s="897">
        <v>32</v>
      </c>
      <c r="Z518" s="897">
        <v>34</v>
      </c>
      <c r="AA518" s="993">
        <f>SUM(W518,X518,Y518,Z518)</f>
        <v>134</v>
      </c>
      <c r="AB518" s="897">
        <v>34</v>
      </c>
      <c r="AC518" s="897">
        <v>34</v>
      </c>
      <c r="AD518" s="897">
        <v>34</v>
      </c>
      <c r="AE518" s="897">
        <v>33</v>
      </c>
      <c r="AF518" s="993">
        <f>SUM(AB518,AC518,AD518,AE518)</f>
        <v>135</v>
      </c>
      <c r="AG518" s="897">
        <v>31</v>
      </c>
      <c r="AH518" s="897">
        <v>32</v>
      </c>
      <c r="AI518" s="897">
        <v>32</v>
      </c>
      <c r="AJ518" s="897">
        <v>32</v>
      </c>
      <c r="AK518" s="993">
        <f>SUM(AG518,AH518,AI518,AJ518)</f>
        <v>127</v>
      </c>
      <c r="AL518" s="897">
        <v>32</v>
      </c>
      <c r="AM518" s="897">
        <v>31</v>
      </c>
      <c r="AN518" s="897">
        <v>32</v>
      </c>
      <c r="AO518" s="897">
        <v>31</v>
      </c>
      <c r="AP518" s="993">
        <f>SUM(AL518,AM518,AN518,AO518)</f>
        <v>126</v>
      </c>
      <c r="AQ518" s="92"/>
      <c r="AR518" s="92"/>
      <c r="AS518" s="92"/>
      <c r="AT518" s="92"/>
      <c r="AU518" s="989"/>
      <c r="AV518" s="92"/>
      <c r="AW518" s="92"/>
      <c r="AX518" s="92"/>
      <c r="AY518" s="92"/>
      <c r="AZ518" s="989"/>
      <c r="BA518" s="92"/>
      <c r="BB518" s="92"/>
      <c r="BC518" s="92"/>
      <c r="BD518" s="92"/>
      <c r="BE518" s="989"/>
      <c r="BF518" s="92"/>
      <c r="BG518" s="92"/>
      <c r="BH518" s="464"/>
      <c r="BI518" s="92"/>
      <c r="BJ518" s="989"/>
      <c r="BK518" s="92"/>
      <c r="BL518" s="92"/>
      <c r="BM518" s="92"/>
      <c r="BN518" s="92"/>
      <c r="BO518" s="989"/>
      <c r="BP518" s="989"/>
      <c r="BQ518" s="989"/>
      <c r="BR518" s="989"/>
      <c r="BS518" s="305"/>
    </row>
    <row r="519" spans="1:71" s="300" customFormat="1" ht="15" hidden="1" outlineLevel="2">
      <c r="A519" s="110" t="s">
        <v>528</v>
      </c>
      <c r="B519" s="113"/>
      <c r="C519" s="995"/>
      <c r="D519" s="995"/>
      <c r="E519" s="995"/>
      <c r="F519" s="990">
        <v>25</v>
      </c>
      <c r="G519" s="990">
        <v>28</v>
      </c>
      <c r="H519" s="900">
        <v>8</v>
      </c>
      <c r="I519" s="900">
        <v>7</v>
      </c>
      <c r="J519" s="900">
        <v>8</v>
      </c>
      <c r="K519" s="900">
        <v>9</v>
      </c>
      <c r="L519" s="998">
        <f>SUM(H519,I519,J519,K519)</f>
        <v>32</v>
      </c>
      <c r="M519" s="900">
        <v>8</v>
      </c>
      <c r="N519" s="900">
        <v>7</v>
      </c>
      <c r="O519" s="900">
        <v>8</v>
      </c>
      <c r="P519" s="900">
        <v>7</v>
      </c>
      <c r="Q519" s="998">
        <f>SUM(M519,N519,O519,P519)</f>
        <v>30</v>
      </c>
      <c r="R519" s="900">
        <v>7</v>
      </c>
      <c r="S519" s="900">
        <v>7</v>
      </c>
      <c r="T519" s="900">
        <v>8</v>
      </c>
      <c r="U519" s="900">
        <v>7</v>
      </c>
      <c r="V519" s="998">
        <f>SUM(R519,S519,T519,U519)</f>
        <v>29</v>
      </c>
      <c r="W519" s="900">
        <v>7</v>
      </c>
      <c r="X519" s="900">
        <v>7</v>
      </c>
      <c r="Y519" s="900">
        <v>7</v>
      </c>
      <c r="Z519" s="900">
        <v>8</v>
      </c>
      <c r="AA519" s="998">
        <f>SUM(W519,X519,Y519,Z519)</f>
        <v>29</v>
      </c>
      <c r="AB519" s="900">
        <v>7</v>
      </c>
      <c r="AC519" s="900">
        <v>9</v>
      </c>
      <c r="AD519" s="900">
        <v>6</v>
      </c>
      <c r="AE519" s="900">
        <v>8</v>
      </c>
      <c r="AF519" s="998">
        <f>SUM(AB519,AC519,AD519,AE519)</f>
        <v>30</v>
      </c>
      <c r="AG519" s="900">
        <v>6</v>
      </c>
      <c r="AH519" s="900">
        <v>7</v>
      </c>
      <c r="AI519" s="900">
        <v>6</v>
      </c>
      <c r="AJ519" s="900">
        <v>7</v>
      </c>
      <c r="AK519" s="998">
        <f>SUM(AG519,AH519,AI519,AJ519)</f>
        <v>26</v>
      </c>
      <c r="AL519" s="900">
        <v>6</v>
      </c>
      <c r="AM519" s="900">
        <v>6</v>
      </c>
      <c r="AN519" s="900">
        <v>7</v>
      </c>
      <c r="AO519" s="900">
        <v>6</v>
      </c>
      <c r="AP519" s="998">
        <f>SUM(AL519,AM519,AN519,AO519)</f>
        <v>25</v>
      </c>
      <c r="AQ519" s="115"/>
      <c r="AR519" s="115"/>
      <c r="AS519" s="115"/>
      <c r="AT519" s="115"/>
      <c r="AU519" s="995"/>
      <c r="AV519" s="115"/>
      <c r="AW519" s="115"/>
      <c r="AX519" s="115"/>
      <c r="AY519" s="115"/>
      <c r="AZ519" s="995"/>
      <c r="BA519" s="115"/>
      <c r="BB519" s="115"/>
      <c r="BC519" s="115"/>
      <c r="BD519" s="115"/>
      <c r="BE519" s="995"/>
      <c r="BF519" s="115"/>
      <c r="BG519" s="115"/>
      <c r="BH519" s="641"/>
      <c r="BI519" s="115"/>
      <c r="BJ519" s="995"/>
      <c r="BK519" s="115"/>
      <c r="BL519" s="115"/>
      <c r="BM519" s="115"/>
      <c r="BN519" s="115"/>
      <c r="BO519" s="995"/>
      <c r="BP519" s="995"/>
      <c r="BQ519" s="995"/>
      <c r="BR519" s="995"/>
      <c r="BS519" s="305"/>
    </row>
    <row r="520" spans="1:71" s="51" customFormat="1" ht="15" hidden="1" outlineLevel="2">
      <c r="A520" s="109" t="s">
        <v>529</v>
      </c>
      <c r="B520" s="391"/>
      <c r="C520" s="1000"/>
      <c r="D520" s="1000"/>
      <c r="E520" s="1000"/>
      <c r="F520" s="999">
        <f t="shared" si="1715" ref="F520">SUM(F517:F519)</f>
        <v>320</v>
      </c>
      <c r="G520" s="999">
        <f t="shared" si="1716" ref="G520">SUM(G517:G519)</f>
        <v>353</v>
      </c>
      <c r="H520" s="57">
        <f t="shared" si="1717" ref="H520">SUM(H517:H519)</f>
        <v>91</v>
      </c>
      <c r="I520" s="57">
        <f t="shared" si="1718" ref="I520">SUM(I517:I519)</f>
        <v>94</v>
      </c>
      <c r="J520" s="57">
        <f t="shared" si="1719" ref="J520">SUM(J517:J519)</f>
        <v>95</v>
      </c>
      <c r="K520" s="57">
        <f t="shared" si="1720" ref="K520">SUM(K517:K519)</f>
        <v>95</v>
      </c>
      <c r="L520" s="999">
        <f t="shared" si="1721" ref="L520">SUM(L517:L519)</f>
        <v>375</v>
      </c>
      <c r="M520" s="57">
        <f t="shared" si="1722" ref="M520">SUM(M517:M519)</f>
        <v>92</v>
      </c>
      <c r="N520" s="57">
        <f t="shared" si="1723" ref="N520">SUM(N517:N519)</f>
        <v>95</v>
      </c>
      <c r="O520" s="57">
        <f t="shared" si="1724" ref="O520">SUM(O517:O519)</f>
        <v>90</v>
      </c>
      <c r="P520" s="57">
        <f t="shared" si="1725" ref="P520">SUM(P517:P519)</f>
        <v>85</v>
      </c>
      <c r="Q520" s="999">
        <f t="shared" si="1726" ref="Q520">SUM(Q517:Q519)</f>
        <v>362</v>
      </c>
      <c r="R520" s="57">
        <f t="shared" si="1727" ref="R520">SUM(R517:R519)</f>
        <v>88</v>
      </c>
      <c r="S520" s="57">
        <f t="shared" si="1728" ref="S520">SUM(S517:S519)</f>
        <v>88</v>
      </c>
      <c r="T520" s="57">
        <f t="shared" si="1729" ref="T520">SUM(T517:T519)</f>
        <v>86</v>
      </c>
      <c r="U520" s="57">
        <f t="shared" si="1730" ref="U520:V520">SUM(U517:U519)</f>
        <v>84</v>
      </c>
      <c r="V520" s="999">
        <f t="shared" si="1730"/>
        <v>346</v>
      </c>
      <c r="W520" s="57">
        <f t="shared" si="1731" ref="W520">SUM(W517:W519)</f>
        <v>85</v>
      </c>
      <c r="X520" s="57">
        <f t="shared" si="1732" ref="X520">SUM(X517:X519)</f>
        <v>88</v>
      </c>
      <c r="Y520" s="57">
        <f t="shared" si="1733" ref="Y520">SUM(Y517:Y519)</f>
        <v>83</v>
      </c>
      <c r="Z520" s="57">
        <f t="shared" si="1734" ref="Z520">SUM(Z517:Z519)</f>
        <v>84</v>
      </c>
      <c r="AA520" s="999">
        <f t="shared" si="1735" ref="AA520">SUM(AA517:AA519)</f>
        <v>340</v>
      </c>
      <c r="AB520" s="57">
        <f t="shared" si="1736" ref="AB520">SUM(AB517:AB519)</f>
        <v>86</v>
      </c>
      <c r="AC520" s="57">
        <f t="shared" si="1737" ref="AC520">SUM(AC517:AC519)</f>
        <v>88</v>
      </c>
      <c r="AD520" s="57">
        <f t="shared" si="1738" ref="AD520">SUM(AD517:AD519)</f>
        <v>82</v>
      </c>
      <c r="AE520" s="57">
        <f t="shared" si="1739" ref="AE520">SUM(AE517:AE519)</f>
        <v>86</v>
      </c>
      <c r="AF520" s="999">
        <f t="shared" si="1740" ref="AF520:AK520">SUM(AF517:AF519)</f>
        <v>342</v>
      </c>
      <c r="AG520" s="57">
        <f t="shared" si="1740"/>
        <v>82</v>
      </c>
      <c r="AH520" s="57">
        <f t="shared" si="1740"/>
        <v>81</v>
      </c>
      <c r="AI520" s="57">
        <f t="shared" si="1740"/>
        <v>81</v>
      </c>
      <c r="AJ520" s="57">
        <f t="shared" si="1740"/>
        <v>83</v>
      </c>
      <c r="AK520" s="999">
        <f t="shared" si="1740"/>
        <v>327</v>
      </c>
      <c r="AL520" s="57">
        <f>SUM(AL517:AL519)</f>
        <v>86</v>
      </c>
      <c r="AM520" s="57">
        <f>SUM(AM517:AM519)</f>
        <v>94</v>
      </c>
      <c r="AN520" s="57">
        <f>SUM(AN517:AN519)</f>
        <v>83</v>
      </c>
      <c r="AO520" s="57">
        <f t="shared" si="1741" ref="AO520:AP520">SUM(AO517:AO519)</f>
        <v>78</v>
      </c>
      <c r="AP520" s="999">
        <f t="shared" si="1741"/>
        <v>341</v>
      </c>
      <c r="AQ520" s="128"/>
      <c r="AR520" s="128"/>
      <c r="AS520" s="128"/>
      <c r="AT520" s="128"/>
      <c r="AU520" s="1000"/>
      <c r="AV520" s="128"/>
      <c r="AW520" s="128"/>
      <c r="AX520" s="128"/>
      <c r="AY520" s="128"/>
      <c r="AZ520" s="1000"/>
      <c r="BA520" s="128"/>
      <c r="BB520" s="128"/>
      <c r="BC520" s="128"/>
      <c r="BD520" s="128"/>
      <c r="BE520" s="1000"/>
      <c r="BF520" s="128"/>
      <c r="BG520" s="128"/>
      <c r="BH520" s="465"/>
      <c r="BI520" s="128"/>
      <c r="BJ520" s="1000"/>
      <c r="BK520" s="128"/>
      <c r="BL520" s="128"/>
      <c r="BM520" s="128"/>
      <c r="BN520" s="128"/>
      <c r="BO520" s="1000"/>
      <c r="BP520" s="1000"/>
      <c r="BQ520" s="1000"/>
      <c r="BR520" s="1000"/>
      <c r="BS520" s="57"/>
    </row>
    <row r="521" spans="1:71" s="300" customFormat="1" ht="15" hidden="1" outlineLevel="2">
      <c r="A521" s="304" t="s">
        <v>530</v>
      </c>
      <c r="B521" s="233"/>
      <c r="C521" s="989"/>
      <c r="D521" s="989"/>
      <c r="E521" s="989"/>
      <c r="F521" s="993">
        <f t="shared" si="1742" ref="F521:Z521">F505+F509-F513-F517</f>
        <v>-47</v>
      </c>
      <c r="G521" s="993">
        <f t="shared" si="1742"/>
        <v>-25</v>
      </c>
      <c r="H521" s="305">
        <f t="shared" si="1742"/>
        <v>-1</v>
      </c>
      <c r="I521" s="305">
        <f t="shared" si="1742"/>
        <v>-22</v>
      </c>
      <c r="J521" s="305">
        <f t="shared" si="1742"/>
        <v>-13</v>
      </c>
      <c r="K521" s="305">
        <f t="shared" si="1742"/>
        <v>-10</v>
      </c>
      <c r="L521" s="993">
        <f t="shared" si="1742"/>
        <v>-46</v>
      </c>
      <c r="M521" s="305">
        <f t="shared" si="1742"/>
        <v>2</v>
      </c>
      <c r="N521" s="305">
        <f t="shared" si="1742"/>
        <v>-14</v>
      </c>
      <c r="O521" s="305">
        <f t="shared" si="1742"/>
        <v>-16</v>
      </c>
      <c r="P521" s="305">
        <f t="shared" si="1742"/>
        <v>-8</v>
      </c>
      <c r="Q521" s="993">
        <f t="shared" si="1742"/>
        <v>-36</v>
      </c>
      <c r="R521" s="305">
        <f t="shared" si="1742"/>
        <v>-9</v>
      </c>
      <c r="S521" s="305">
        <f t="shared" si="1742"/>
        <v>-17</v>
      </c>
      <c r="T521" s="305">
        <f t="shared" si="1742"/>
        <v>-6</v>
      </c>
      <c r="U521" s="305">
        <f t="shared" si="1742"/>
        <v>3</v>
      </c>
      <c r="V521" s="993">
        <f t="shared" si="1742"/>
        <v>-29</v>
      </c>
      <c r="W521" s="305">
        <f t="shared" si="1742"/>
        <v>-1</v>
      </c>
      <c r="X521" s="305">
        <f t="shared" si="1742"/>
        <v>-8</v>
      </c>
      <c r="Y521" s="305">
        <f t="shared" si="1742"/>
        <v>6</v>
      </c>
      <c r="Z521" s="305">
        <f t="shared" si="1742"/>
        <v>7</v>
      </c>
      <c r="AA521" s="993">
        <f t="shared" si="1743" ref="AA521:AE522">AA505+AA509-AA513-AA517</f>
        <v>4</v>
      </c>
      <c r="AB521" s="305">
        <f t="shared" si="1743"/>
        <v>5</v>
      </c>
      <c r="AC521" s="305">
        <f t="shared" si="1743"/>
        <v>9</v>
      </c>
      <c r="AD521" s="305">
        <f t="shared" si="1743"/>
        <v>8</v>
      </c>
      <c r="AE521" s="305">
        <f t="shared" si="1743"/>
        <v>-8</v>
      </c>
      <c r="AF521" s="993">
        <f t="shared" si="1744" ref="AF521">AF505+AF509-AF513-AF517</f>
        <v>14</v>
      </c>
      <c r="AG521" s="305">
        <f>AG505+AG509-AG513-AG517</f>
        <v>-1</v>
      </c>
      <c r="AH521" s="305">
        <f t="shared" si="1745" ref="AH521:AL521">AH505+AH509-AH513-AH517</f>
        <v>6</v>
      </c>
      <c r="AI521" s="305">
        <f t="shared" si="1745"/>
        <v>1</v>
      </c>
      <c r="AJ521" s="305">
        <f t="shared" si="1745"/>
        <v>2</v>
      </c>
      <c r="AK521" s="993">
        <f t="shared" si="1745"/>
        <v>8</v>
      </c>
      <c r="AL521" s="305">
        <f t="shared" si="1745"/>
        <v>-2</v>
      </c>
      <c r="AM521" s="305">
        <f t="shared" si="1746" ref="AM521:AP523">AM505+AM509-AM513-AM517</f>
        <v>32</v>
      </c>
      <c r="AN521" s="305">
        <f t="shared" si="1746"/>
        <v>9</v>
      </c>
      <c r="AO521" s="305">
        <f t="shared" si="1746"/>
        <v>1</v>
      </c>
      <c r="AP521" s="993">
        <f t="shared" si="1746"/>
        <v>40</v>
      </c>
      <c r="AQ521" s="92"/>
      <c r="AR521" s="92"/>
      <c r="AS521" s="92"/>
      <c r="AT521" s="92"/>
      <c r="AU521" s="989"/>
      <c r="AV521" s="92"/>
      <c r="AW521" s="92"/>
      <c r="AX521" s="92"/>
      <c r="AY521" s="92"/>
      <c r="AZ521" s="989"/>
      <c r="BA521" s="92"/>
      <c r="BB521" s="92"/>
      <c r="BC521" s="92"/>
      <c r="BD521" s="92"/>
      <c r="BE521" s="989"/>
      <c r="BF521" s="92"/>
      <c r="BG521" s="92"/>
      <c r="BH521" s="464"/>
      <c r="BI521" s="92"/>
      <c r="BJ521" s="989"/>
      <c r="BK521" s="92"/>
      <c r="BL521" s="92"/>
      <c r="BM521" s="92"/>
      <c r="BN521" s="92"/>
      <c r="BO521" s="989"/>
      <c r="BP521" s="989"/>
      <c r="BQ521" s="989"/>
      <c r="BR521" s="989"/>
      <c r="BS521" s="305"/>
    </row>
    <row r="522" spans="1:71" s="300" customFormat="1" ht="15" hidden="1" outlineLevel="2">
      <c r="A522" s="304" t="s">
        <v>531</v>
      </c>
      <c r="B522" s="233"/>
      <c r="C522" s="989"/>
      <c r="D522" s="989"/>
      <c r="E522" s="989"/>
      <c r="F522" s="993">
        <f t="shared" si="1747" ref="F522:Z522">F506+F510-F514-F518</f>
        <v>-28</v>
      </c>
      <c r="G522" s="993">
        <f t="shared" si="1747"/>
        <v>54</v>
      </c>
      <c r="H522" s="305">
        <f t="shared" si="1747"/>
        <v>-4</v>
      </c>
      <c r="I522" s="305">
        <f t="shared" si="1747"/>
        <v>-35</v>
      </c>
      <c r="J522" s="305">
        <f t="shared" si="1747"/>
        <v>-17</v>
      </c>
      <c r="K522" s="305">
        <f t="shared" si="1747"/>
        <v>32</v>
      </c>
      <c r="L522" s="993">
        <f t="shared" si="1747"/>
        <v>-24</v>
      </c>
      <c r="M522" s="305">
        <f t="shared" si="1747"/>
        <v>16</v>
      </c>
      <c r="N522" s="305">
        <f t="shared" si="1747"/>
        <v>-29</v>
      </c>
      <c r="O522" s="305">
        <f t="shared" si="1747"/>
        <v>16</v>
      </c>
      <c r="P522" s="305">
        <f t="shared" si="1747"/>
        <v>29</v>
      </c>
      <c r="Q522" s="993">
        <f t="shared" si="1747"/>
        <v>32</v>
      </c>
      <c r="R522" s="305">
        <f t="shared" si="1747"/>
        <v>3</v>
      </c>
      <c r="S522" s="305">
        <f t="shared" si="1747"/>
        <v>0</v>
      </c>
      <c r="T522" s="305">
        <f t="shared" si="1747"/>
        <v>11</v>
      </c>
      <c r="U522" s="305">
        <f t="shared" si="1747"/>
        <v>22</v>
      </c>
      <c r="V522" s="993">
        <f t="shared" si="1747"/>
        <v>36</v>
      </c>
      <c r="W522" s="305">
        <f t="shared" si="1747"/>
        <v>-28</v>
      </c>
      <c r="X522" s="305">
        <f t="shared" si="1747"/>
        <v>-10</v>
      </c>
      <c r="Y522" s="305">
        <f t="shared" si="1747"/>
        <v>20</v>
      </c>
      <c r="Z522" s="305">
        <f t="shared" si="1747"/>
        <v>-29</v>
      </c>
      <c r="AA522" s="993">
        <f t="shared" si="1743"/>
        <v>-47</v>
      </c>
      <c r="AB522" s="305">
        <f t="shared" si="1743"/>
        <v>2</v>
      </c>
      <c r="AC522" s="305">
        <f t="shared" si="1743"/>
        <v>-8</v>
      </c>
      <c r="AD522" s="305">
        <f t="shared" si="1743"/>
        <v>-3</v>
      </c>
      <c r="AE522" s="305">
        <f t="shared" si="1743"/>
        <v>10</v>
      </c>
      <c r="AF522" s="993">
        <f t="shared" si="1748" ref="AF522:AL523">AF506+AF510-AF514-AF518</f>
        <v>1</v>
      </c>
      <c r="AG522" s="305">
        <f>AG506+AG510-AG514-AG518</f>
        <v>-4</v>
      </c>
      <c r="AH522" s="305">
        <f t="shared" si="1749" ref="AH522:AL522">AH506+AH510-AH514-AH518</f>
        <v>2</v>
      </c>
      <c r="AI522" s="305">
        <f t="shared" si="1749"/>
        <v>-13</v>
      </c>
      <c r="AJ522" s="305">
        <f t="shared" si="1749"/>
        <v>17</v>
      </c>
      <c r="AK522" s="993">
        <f t="shared" si="1749"/>
        <v>2</v>
      </c>
      <c r="AL522" s="305">
        <f t="shared" si="1749"/>
        <v>14</v>
      </c>
      <c r="AM522" s="305">
        <f t="shared" si="1746"/>
        <v>-21</v>
      </c>
      <c r="AN522" s="305">
        <f t="shared" si="1746"/>
        <v>26</v>
      </c>
      <c r="AO522" s="305">
        <f t="shared" si="1746"/>
        <v>7</v>
      </c>
      <c r="AP522" s="993">
        <f t="shared" si="1746"/>
        <v>26</v>
      </c>
      <c r="AQ522" s="92"/>
      <c r="AR522" s="92"/>
      <c r="AS522" s="92"/>
      <c r="AT522" s="92"/>
      <c r="AU522" s="989"/>
      <c r="AV522" s="92"/>
      <c r="AW522" s="92"/>
      <c r="AX522" s="92"/>
      <c r="AY522" s="92"/>
      <c r="AZ522" s="989"/>
      <c r="BA522" s="92"/>
      <c r="BB522" s="92"/>
      <c r="BC522" s="92"/>
      <c r="BD522" s="92"/>
      <c r="BE522" s="989"/>
      <c r="BF522" s="92"/>
      <c r="BG522" s="92"/>
      <c r="BH522" s="464"/>
      <c r="BI522" s="92"/>
      <c r="BJ522" s="989"/>
      <c r="BK522" s="92"/>
      <c r="BL522" s="92"/>
      <c r="BM522" s="92"/>
      <c r="BN522" s="92"/>
      <c r="BO522" s="989"/>
      <c r="BP522" s="989"/>
      <c r="BQ522" s="989"/>
      <c r="BR522" s="989"/>
      <c r="BS522" s="305"/>
    </row>
    <row r="523" spans="1:71" s="300" customFormat="1" ht="15" hidden="1" outlineLevel="2">
      <c r="A523" s="110" t="s">
        <v>532</v>
      </c>
      <c r="B523" s="113"/>
      <c r="C523" s="995"/>
      <c r="D523" s="995"/>
      <c r="E523" s="995"/>
      <c r="F523" s="998">
        <f t="shared" si="1750" ref="F523:X523">F507+F511-F515-F519</f>
        <v>5</v>
      </c>
      <c r="G523" s="998">
        <f t="shared" si="1750"/>
        <v>18</v>
      </c>
      <c r="H523" s="58">
        <f t="shared" si="1750"/>
        <v>-3</v>
      </c>
      <c r="I523" s="58">
        <f t="shared" si="1750"/>
        <v>-2</v>
      </c>
      <c r="J523" s="58">
        <f t="shared" si="1750"/>
        <v>-1</v>
      </c>
      <c r="K523" s="58">
        <f t="shared" si="1750"/>
        <v>0</v>
      </c>
      <c r="L523" s="998">
        <f t="shared" si="1750"/>
        <v>-6</v>
      </c>
      <c r="M523" s="58">
        <f t="shared" si="1750"/>
        <v>-4</v>
      </c>
      <c r="N523" s="58">
        <f t="shared" si="1750"/>
        <v>-7</v>
      </c>
      <c r="O523" s="58">
        <f t="shared" si="1750"/>
        <v>-4</v>
      </c>
      <c r="P523" s="58">
        <f t="shared" si="1750"/>
        <v>-7</v>
      </c>
      <c r="Q523" s="998">
        <f t="shared" si="1750"/>
        <v>-22</v>
      </c>
      <c r="R523" s="58">
        <f t="shared" si="1750"/>
        <v>-12</v>
      </c>
      <c r="S523" s="58">
        <f t="shared" si="1750"/>
        <v>2</v>
      </c>
      <c r="T523" s="58">
        <f t="shared" si="1750"/>
        <v>0</v>
      </c>
      <c r="U523" s="58">
        <f t="shared" si="1750"/>
        <v>4</v>
      </c>
      <c r="V523" s="998">
        <f t="shared" si="1750"/>
        <v>-6</v>
      </c>
      <c r="W523" s="58">
        <f t="shared" si="1750"/>
        <v>-4</v>
      </c>
      <c r="X523" s="58">
        <f t="shared" si="1750"/>
        <v>6</v>
      </c>
      <c r="Y523" s="58">
        <f>Y507+Y511-Y515-Y519</f>
        <v>3</v>
      </c>
      <c r="Z523" s="58">
        <f t="shared" si="1751" ref="Z523:AE523">Z507+Z511-Z515-Z519</f>
        <v>5</v>
      </c>
      <c r="AA523" s="998">
        <f t="shared" si="1751"/>
        <v>10</v>
      </c>
      <c r="AB523" s="58">
        <f t="shared" si="1751"/>
        <v>-1</v>
      </c>
      <c r="AC523" s="58">
        <f t="shared" si="1751"/>
        <v>4</v>
      </c>
      <c r="AD523" s="58">
        <f t="shared" si="1751"/>
        <v>6</v>
      </c>
      <c r="AE523" s="58">
        <f t="shared" si="1751"/>
        <v>-6</v>
      </c>
      <c r="AF523" s="998">
        <f t="shared" si="1748"/>
        <v>3</v>
      </c>
      <c r="AG523" s="58">
        <f t="shared" si="1748"/>
        <v>3</v>
      </c>
      <c r="AH523" s="58">
        <f t="shared" si="1748"/>
        <v>-1</v>
      </c>
      <c r="AI523" s="58">
        <f t="shared" si="1748"/>
        <v>-3</v>
      </c>
      <c r="AJ523" s="58">
        <f t="shared" si="1748"/>
        <v>-2</v>
      </c>
      <c r="AK523" s="998">
        <f t="shared" si="1748"/>
        <v>-3</v>
      </c>
      <c r="AL523" s="58">
        <f t="shared" si="1748"/>
        <v>2</v>
      </c>
      <c r="AM523" s="58">
        <f t="shared" si="1746"/>
        <v>-5</v>
      </c>
      <c r="AN523" s="58">
        <f t="shared" si="1746"/>
        <v>8</v>
      </c>
      <c r="AO523" s="58">
        <f t="shared" si="1746"/>
        <v>4</v>
      </c>
      <c r="AP523" s="998">
        <f t="shared" si="1746"/>
        <v>9</v>
      </c>
      <c r="AQ523" s="115"/>
      <c r="AR523" s="115"/>
      <c r="AS523" s="115"/>
      <c r="AT523" s="115"/>
      <c r="AU523" s="995"/>
      <c r="AV523" s="115"/>
      <c r="AW523" s="115"/>
      <c r="AX523" s="115"/>
      <c r="AY523" s="115"/>
      <c r="AZ523" s="995"/>
      <c r="BA523" s="115"/>
      <c r="BB523" s="115"/>
      <c r="BC523" s="115"/>
      <c r="BD523" s="115"/>
      <c r="BE523" s="995"/>
      <c r="BF523" s="115"/>
      <c r="BG523" s="115"/>
      <c r="BH523" s="641"/>
      <c r="BI523" s="115"/>
      <c r="BJ523" s="995"/>
      <c r="BK523" s="115"/>
      <c r="BL523" s="115"/>
      <c r="BM523" s="115"/>
      <c r="BN523" s="115"/>
      <c r="BO523" s="995"/>
      <c r="BP523" s="995"/>
      <c r="BQ523" s="995"/>
      <c r="BR523" s="995"/>
      <c r="BS523" s="305"/>
    </row>
    <row r="524" spans="1:71" s="51" customFormat="1" ht="15" hidden="1" outlineLevel="2">
      <c r="A524" s="109" t="s">
        <v>533</v>
      </c>
      <c r="B524" s="391"/>
      <c r="C524" s="1000"/>
      <c r="D524" s="1000"/>
      <c r="E524" s="1000"/>
      <c r="F524" s="999">
        <f t="shared" si="1752" ref="F524">SUM(F521:F523)</f>
        <v>-70</v>
      </c>
      <c r="G524" s="999">
        <f t="shared" si="1753" ref="G524">SUM(G521:G523)</f>
        <v>47</v>
      </c>
      <c r="H524" s="57">
        <f t="shared" si="1754" ref="H524">SUM(H521:H523)</f>
        <v>-8</v>
      </c>
      <c r="I524" s="57">
        <f t="shared" si="1755" ref="I524">SUM(I521:I523)</f>
        <v>-59</v>
      </c>
      <c r="J524" s="57">
        <f t="shared" si="1756" ref="J524">SUM(J521:J523)</f>
        <v>-31</v>
      </c>
      <c r="K524" s="57">
        <f t="shared" si="1757" ref="K524">SUM(K521:K523)</f>
        <v>22</v>
      </c>
      <c r="L524" s="999">
        <f t="shared" si="1758" ref="L524">SUM(L521:L523)</f>
        <v>-76</v>
      </c>
      <c r="M524" s="57">
        <f t="shared" si="1759" ref="M524">SUM(M521:M523)</f>
        <v>14</v>
      </c>
      <c r="N524" s="57">
        <f t="shared" si="1760" ref="N524">SUM(N521:N523)</f>
        <v>-50</v>
      </c>
      <c r="O524" s="57">
        <f t="shared" si="1761" ref="O524">SUM(O521:O523)</f>
        <v>-4</v>
      </c>
      <c r="P524" s="57">
        <f t="shared" si="1762" ref="P524">SUM(P521:P523)</f>
        <v>14</v>
      </c>
      <c r="Q524" s="999">
        <f t="shared" si="1763" ref="Q524">SUM(Q521:Q523)</f>
        <v>-26</v>
      </c>
      <c r="R524" s="57">
        <f t="shared" si="1764" ref="R524">SUM(R521:R523)</f>
        <v>-18</v>
      </c>
      <c r="S524" s="57">
        <f t="shared" si="1765" ref="S524">SUM(S521:S523)</f>
        <v>-15</v>
      </c>
      <c r="T524" s="57">
        <f t="shared" si="1766" ref="T524">SUM(T521:T523)</f>
        <v>5</v>
      </c>
      <c r="U524" s="57">
        <f t="shared" si="1767" ref="U524">SUM(U521:U523)</f>
        <v>29</v>
      </c>
      <c r="V524" s="999">
        <f t="shared" si="1768" ref="V524">SUM(V521:V523)</f>
        <v>1</v>
      </c>
      <c r="W524" s="57">
        <f t="shared" si="1769" ref="W524">SUM(W521:W523)</f>
        <v>-33</v>
      </c>
      <c r="X524" s="57">
        <f t="shared" si="1770" ref="X524">SUM(X521:X523)</f>
        <v>-12</v>
      </c>
      <c r="Y524" s="57">
        <f t="shared" si="1771" ref="Y524">SUM(Y521:Y523)</f>
        <v>29</v>
      </c>
      <c r="Z524" s="57">
        <f t="shared" si="1772" ref="Z524">SUM(Z521:Z523)</f>
        <v>-17</v>
      </c>
      <c r="AA524" s="999">
        <f t="shared" si="1773" ref="AA524">SUM(AA521:AA523)</f>
        <v>-33</v>
      </c>
      <c r="AB524" s="57">
        <f t="shared" si="1774" ref="AB524">SUM(AB521:AB523)</f>
        <v>6</v>
      </c>
      <c r="AC524" s="57">
        <f t="shared" si="1775" ref="AC524">SUM(AC521:AC523)</f>
        <v>5</v>
      </c>
      <c r="AD524" s="57">
        <f t="shared" si="1776" ref="AD524">SUM(AD521:AD523)</f>
        <v>11</v>
      </c>
      <c r="AE524" s="57">
        <f t="shared" si="1777" ref="AE524">SUM(AE521:AE523)</f>
        <v>-4</v>
      </c>
      <c r="AF524" s="999">
        <f t="shared" si="1778" ref="AF524:AL524">SUM(AF521:AF523)</f>
        <v>18</v>
      </c>
      <c r="AG524" s="57">
        <f>SUM(AG521:AG523)</f>
        <v>-2</v>
      </c>
      <c r="AH524" s="57">
        <f t="shared" si="1778"/>
        <v>7</v>
      </c>
      <c r="AI524" s="57">
        <f t="shared" si="1778"/>
        <v>-15</v>
      </c>
      <c r="AJ524" s="57">
        <f t="shared" si="1778"/>
        <v>17</v>
      </c>
      <c r="AK524" s="999">
        <f t="shared" si="1778"/>
        <v>7</v>
      </c>
      <c r="AL524" s="57">
        <f t="shared" si="1778"/>
        <v>14</v>
      </c>
      <c r="AM524" s="57">
        <f>SUM(AM521:AM523)</f>
        <v>6</v>
      </c>
      <c r="AN524" s="57">
        <f>SUM(AN521:AN523)</f>
        <v>43</v>
      </c>
      <c r="AO524" s="57">
        <f t="shared" si="1779" ref="AO524:AP524">SUM(AO521:AO523)</f>
        <v>12</v>
      </c>
      <c r="AP524" s="999">
        <f t="shared" si="1779"/>
        <v>75</v>
      </c>
      <c r="AQ524" s="128"/>
      <c r="AR524" s="128"/>
      <c r="AS524" s="128"/>
      <c r="AT524" s="128"/>
      <c r="AU524" s="1000"/>
      <c r="AV524" s="128"/>
      <c r="AW524" s="128"/>
      <c r="AX524" s="128"/>
      <c r="AY524" s="128"/>
      <c r="AZ524" s="1000"/>
      <c r="BA524" s="128"/>
      <c r="BB524" s="128"/>
      <c r="BC524" s="128"/>
      <c r="BD524" s="128"/>
      <c r="BE524" s="1000"/>
      <c r="BF524" s="128"/>
      <c r="BG524" s="128"/>
      <c r="BH524" s="465"/>
      <c r="BI524" s="128"/>
      <c r="BJ524" s="1000"/>
      <c r="BK524" s="128"/>
      <c r="BL524" s="128"/>
      <c r="BM524" s="128"/>
      <c r="BN524" s="128"/>
      <c r="BO524" s="1000"/>
      <c r="BP524" s="1000"/>
      <c r="BQ524" s="1000"/>
      <c r="BR524" s="1000"/>
      <c r="BS524" s="57"/>
    </row>
    <row r="525" spans="1:71" s="22" customFormat="1" ht="15" hidden="1" outlineLevel="2">
      <c r="A525" s="480"/>
      <c r="B525" s="485"/>
      <c r="C525" s="1010"/>
      <c r="D525" s="1010"/>
      <c r="E525" s="1010"/>
      <c r="F525" s="1010"/>
      <c r="G525" s="1010"/>
      <c r="H525" s="840"/>
      <c r="I525" s="840"/>
      <c r="J525" s="840"/>
      <c r="K525" s="840"/>
      <c r="L525" s="1010"/>
      <c r="M525" s="840"/>
      <c r="N525" s="840"/>
      <c r="O525" s="840"/>
      <c r="P525" s="840"/>
      <c r="Q525" s="1010"/>
      <c r="R525" s="840"/>
      <c r="S525" s="840"/>
      <c r="T525" s="840"/>
      <c r="U525" s="840"/>
      <c r="V525" s="1010"/>
      <c r="W525" s="840"/>
      <c r="X525" s="840"/>
      <c r="Y525" s="840"/>
      <c r="Z525" s="840"/>
      <c r="AA525" s="1010"/>
      <c r="AB525" s="840"/>
      <c r="AC525" s="840"/>
      <c r="AD525" s="840"/>
      <c r="AE525" s="840"/>
      <c r="AF525" s="1010"/>
      <c r="AG525" s="840"/>
      <c r="AH525" s="840"/>
      <c r="AI525" s="840"/>
      <c r="AJ525" s="840"/>
      <c r="AK525" s="1010"/>
      <c r="AL525" s="840"/>
      <c r="AM525" s="840"/>
      <c r="AN525" s="840"/>
      <c r="AO525" s="840"/>
      <c r="AP525" s="1010"/>
      <c r="AQ525" s="840"/>
      <c r="AR525" s="840"/>
      <c r="AS525" s="840"/>
      <c r="AT525" s="840"/>
      <c r="AU525" s="1010"/>
      <c r="AV525" s="840"/>
      <c r="AW525" s="840"/>
      <c r="AX525" s="840"/>
      <c r="AY525" s="840"/>
      <c r="AZ525" s="1010"/>
      <c r="BA525" s="840"/>
      <c r="BB525" s="840"/>
      <c r="BC525" s="840"/>
      <c r="BD525" s="840"/>
      <c r="BE525" s="1010"/>
      <c r="BF525" s="840"/>
      <c r="BG525" s="840"/>
      <c r="BH525" s="841"/>
      <c r="BI525" s="840"/>
      <c r="BJ525" s="1010"/>
      <c r="BK525" s="840"/>
      <c r="BL525" s="840"/>
      <c r="BM525" s="840"/>
      <c r="BN525" s="840"/>
      <c r="BO525" s="1010"/>
      <c r="BP525" s="1010"/>
      <c r="BQ525" s="1010"/>
      <c r="BR525" s="1010"/>
      <c r="BS525" s="822"/>
    </row>
    <row r="526" spans="1:71" s="24" customFormat="1" ht="15" hidden="1" outlineLevel="2">
      <c r="A526" s="45" t="s">
        <v>534</v>
      </c>
      <c r="B526" s="494"/>
      <c r="C526" s="1011"/>
      <c r="D526" s="1011"/>
      <c r="E526" s="1011"/>
      <c r="F526" s="1017">
        <f t="shared" si="1780" ref="F526:Z526">F516/F508</f>
        <v>0.76873265494912113</v>
      </c>
      <c r="G526" s="1017">
        <f t="shared" si="1780"/>
        <v>0.65397923875432529</v>
      </c>
      <c r="H526" s="47">
        <f t="shared" si="1780"/>
        <v>0.72697368421052633</v>
      </c>
      <c r="I526" s="47">
        <f t="shared" si="1780"/>
        <v>0.88636363636363635</v>
      </c>
      <c r="J526" s="47">
        <f t="shared" si="1780"/>
        <v>0.79874213836477992</v>
      </c>
      <c r="K526" s="47">
        <f t="shared" si="1780"/>
        <v>0.63091482649842268</v>
      </c>
      <c r="L526" s="1017">
        <f t="shared" si="1780"/>
        <v>0.76022453889334407</v>
      </c>
      <c r="M526" s="47">
        <f t="shared" si="1780"/>
        <v>0.66771159874608155</v>
      </c>
      <c r="N526" s="47">
        <f t="shared" si="1780"/>
        <v>0.85849056603773588</v>
      </c>
      <c r="O526" s="47">
        <f t="shared" si="1780"/>
        <v>0.73040752351097182</v>
      </c>
      <c r="P526" s="47">
        <f t="shared" si="1780"/>
        <v>0.68370607028753994</v>
      </c>
      <c r="Q526" s="1017">
        <f t="shared" si="1780"/>
        <v>0.73522458628841603</v>
      </c>
      <c r="R526" s="47">
        <f t="shared" si="1780"/>
        <v>0.77346278317152106</v>
      </c>
      <c r="S526" s="47">
        <f t="shared" si="1780"/>
        <v>0.75986842105263153</v>
      </c>
      <c r="T526" s="47">
        <f t="shared" si="1780"/>
        <v>0.69565217391304346</v>
      </c>
      <c r="U526" s="47">
        <f t="shared" si="1780"/>
        <v>0.6103448275862069</v>
      </c>
      <c r="V526" s="1017">
        <f t="shared" si="1780"/>
        <v>0.71131447587354413</v>
      </c>
      <c r="W526" s="47">
        <f t="shared" si="1780"/>
        <v>0.82332155477031799</v>
      </c>
      <c r="X526" s="47">
        <f t="shared" si="1780"/>
        <v>0.72627737226277367</v>
      </c>
      <c r="Y526" s="47">
        <f t="shared" si="1780"/>
        <v>0.58736059479553904</v>
      </c>
      <c r="Z526" s="47">
        <f t="shared" si="1780"/>
        <v>0.75378787878787878</v>
      </c>
      <c r="AA526" s="1017">
        <f t="shared" si="1781" ref="AA526:AF526">AA516/AA508</f>
        <v>0.72385321100917432</v>
      </c>
      <c r="AB526" s="47">
        <f t="shared" si="1781"/>
        <v>0.64591439688715957</v>
      </c>
      <c r="AC526" s="47">
        <f t="shared" si="1781"/>
        <v>0.64453125</v>
      </c>
      <c r="AD526" s="47">
        <f t="shared" si="1781"/>
        <v>0.63779527559055116</v>
      </c>
      <c r="AE526" s="47">
        <f t="shared" si="1781"/>
        <v>0.68359375</v>
      </c>
      <c r="AF526" s="1017">
        <f t="shared" si="1781"/>
        <v>0.65298142717497554</v>
      </c>
      <c r="AG526" s="47">
        <f t="shared" si="1782" ref="AG526:AK526">AG516/AG508</f>
        <v>0.68774703557312256</v>
      </c>
      <c r="AH526" s="47">
        <f t="shared" si="1782"/>
        <v>0.65748031496062997</v>
      </c>
      <c r="AI526" s="47">
        <f t="shared" si="1782"/>
        <v>0.75097276264591439</v>
      </c>
      <c r="AJ526" s="47">
        <f t="shared" si="1782"/>
        <v>0.61023622047244097</v>
      </c>
      <c r="AK526" s="1017">
        <f t="shared" si="1782"/>
        <v>0.67681728880157166</v>
      </c>
      <c r="AL526" s="47">
        <f>AL516/AL508</f>
        <v>0.61328125</v>
      </c>
      <c r="AM526" s="47">
        <f>AM516/AM508</f>
        <v>0.60869565217391308</v>
      </c>
      <c r="AN526" s="47">
        <f>AN516/AN508</f>
        <v>0.49596774193548387</v>
      </c>
      <c r="AO526" s="47">
        <f t="shared" si="1783" ref="AO526:AP526">AO516/AO508</f>
        <v>0.63636363636363635</v>
      </c>
      <c r="AP526" s="1017">
        <f t="shared" si="1783"/>
        <v>0.58858858858858853</v>
      </c>
      <c r="AQ526" s="130"/>
      <c r="AR526" s="130"/>
      <c r="AS526" s="130"/>
      <c r="AT526" s="130"/>
      <c r="AU526" s="1011"/>
      <c r="AV526" s="130"/>
      <c r="AW526" s="130"/>
      <c r="AX526" s="130"/>
      <c r="AY526" s="130"/>
      <c r="AZ526" s="1011"/>
      <c r="BA526" s="130"/>
      <c r="BB526" s="130"/>
      <c r="BC526" s="130"/>
      <c r="BD526" s="130"/>
      <c r="BE526" s="1011"/>
      <c r="BF526" s="130"/>
      <c r="BG526" s="130"/>
      <c r="BH526" s="748"/>
      <c r="BI526" s="130"/>
      <c r="BJ526" s="1011"/>
      <c r="BK526" s="130"/>
      <c r="BL526" s="130"/>
      <c r="BM526" s="130"/>
      <c r="BN526" s="130"/>
      <c r="BO526" s="1011"/>
      <c r="BP526" s="1011"/>
      <c r="BQ526" s="1011"/>
      <c r="BR526" s="1011"/>
      <c r="BS526" s="47"/>
    </row>
    <row r="527" spans="1:71" s="24" customFormat="1" ht="15" hidden="1" outlineLevel="2">
      <c r="A527" s="63" t="s">
        <v>535</v>
      </c>
      <c r="B527" s="495"/>
      <c r="C527" s="1029"/>
      <c r="D527" s="1029"/>
      <c r="E527" s="1029"/>
      <c r="F527" s="1038">
        <f t="shared" si="1784" ref="F527:Z527">(F520-F512)/F508</f>
        <v>0.29602220166512488</v>
      </c>
      <c r="G527" s="1038">
        <f t="shared" si="1784"/>
        <v>0.30536332179930797</v>
      </c>
      <c r="H527" s="345">
        <f t="shared" si="1784"/>
        <v>0.29934210526315791</v>
      </c>
      <c r="I527" s="345">
        <f t="shared" si="1784"/>
        <v>0.30519480519480519</v>
      </c>
      <c r="J527" s="345">
        <f t="shared" si="1784"/>
        <v>0.29874213836477986</v>
      </c>
      <c r="K527" s="345">
        <f t="shared" si="1784"/>
        <v>0.29968454258675081</v>
      </c>
      <c r="L527" s="1038">
        <f t="shared" si="1784"/>
        <v>0.30072173215717724</v>
      </c>
      <c r="M527" s="345">
        <f t="shared" si="1784"/>
        <v>0.2884012539184953</v>
      </c>
      <c r="N527" s="345">
        <f t="shared" si="1784"/>
        <v>0.29874213836477986</v>
      </c>
      <c r="O527" s="345">
        <f t="shared" si="1784"/>
        <v>0.28213166144200624</v>
      </c>
      <c r="P527" s="345">
        <f t="shared" si="1784"/>
        <v>0.27156549520766771</v>
      </c>
      <c r="Q527" s="1038">
        <f t="shared" si="1784"/>
        <v>0.28526398739164699</v>
      </c>
      <c r="R527" s="345">
        <f t="shared" si="1784"/>
        <v>0.28478964401294499</v>
      </c>
      <c r="S527" s="345">
        <f t="shared" si="1784"/>
        <v>0.28947368421052633</v>
      </c>
      <c r="T527" s="345">
        <f t="shared" si="1784"/>
        <v>0.28762541806020064</v>
      </c>
      <c r="U527" s="345">
        <f t="shared" si="1784"/>
        <v>0.28965517241379313</v>
      </c>
      <c r="V527" s="1038">
        <f t="shared" si="1784"/>
        <v>0.28785357737104827</v>
      </c>
      <c r="W527" s="345">
        <f t="shared" si="1784"/>
        <v>0.29328621908127206</v>
      </c>
      <c r="X527" s="345">
        <f t="shared" si="1784"/>
        <v>0.31751824817518248</v>
      </c>
      <c r="Y527" s="345">
        <f t="shared" si="1784"/>
        <v>0.30483271375464682</v>
      </c>
      <c r="Z527" s="345">
        <f t="shared" si="1784"/>
        <v>0.31060606060606061</v>
      </c>
      <c r="AA527" s="1038">
        <f t="shared" si="1785" ref="AA527:AF527">(AA520-AA512)/AA508</f>
        <v>0.30642201834862387</v>
      </c>
      <c r="AB527" s="345">
        <f t="shared" si="1785"/>
        <v>0.33073929961089493</v>
      </c>
      <c r="AC527" s="345">
        <f t="shared" si="1785"/>
        <v>0.3359375</v>
      </c>
      <c r="AD527" s="345">
        <f t="shared" si="1785"/>
        <v>0.31889763779527558</v>
      </c>
      <c r="AE527" s="345">
        <f t="shared" si="1785"/>
        <v>0.33203125</v>
      </c>
      <c r="AF527" s="1038">
        <f t="shared" si="1785"/>
        <v>0.32942326490713586</v>
      </c>
      <c r="AG527" s="345">
        <f t="shared" si="1786" ref="AG527:AK527">(AG520-AG512)/AG508</f>
        <v>0.3201581027667984</v>
      </c>
      <c r="AH527" s="345">
        <f t="shared" si="1786"/>
        <v>0.31496062992125984</v>
      </c>
      <c r="AI527" s="345">
        <f t="shared" si="1786"/>
        <v>0.30739299610894943</v>
      </c>
      <c r="AJ527" s="345">
        <f t="shared" si="1786"/>
        <v>0.32283464566929132</v>
      </c>
      <c r="AK527" s="1038">
        <f t="shared" si="1786"/>
        <v>0.31630648330058941</v>
      </c>
      <c r="AL527" s="345">
        <f>(AL520-AL512)/AL508</f>
        <v>0.33203125</v>
      </c>
      <c r="AM527" s="345">
        <f>(AM520-AM512)/AM508</f>
        <v>0.3675889328063241</v>
      </c>
      <c r="AN527" s="345">
        <f>(AN520-AN512)/AN508</f>
        <v>0.33064516129032256</v>
      </c>
      <c r="AO527" s="345">
        <f t="shared" si="1787" ref="AO527:AP527">(AO520-AO512)/AO508</f>
        <v>0.31404958677685951</v>
      </c>
      <c r="AP527" s="1038">
        <f t="shared" si="1787"/>
        <v>0.33633633633633636</v>
      </c>
      <c r="AQ527" s="343"/>
      <c r="AR527" s="343"/>
      <c r="AS527" s="343"/>
      <c r="AT527" s="343"/>
      <c r="AU527" s="1029"/>
      <c r="AV527" s="343"/>
      <c r="AW527" s="343"/>
      <c r="AX527" s="343"/>
      <c r="AY527" s="343"/>
      <c r="AZ527" s="1029"/>
      <c r="BA527" s="343"/>
      <c r="BB527" s="343"/>
      <c r="BC527" s="343"/>
      <c r="BD527" s="343"/>
      <c r="BE527" s="1029"/>
      <c r="BF527" s="343"/>
      <c r="BG527" s="343"/>
      <c r="BH527" s="762"/>
      <c r="BI527" s="343"/>
      <c r="BJ527" s="1029"/>
      <c r="BK527" s="343"/>
      <c r="BL527" s="343"/>
      <c r="BM527" s="343"/>
      <c r="BN527" s="343"/>
      <c r="BO527" s="1029"/>
      <c r="BP527" s="1029"/>
      <c r="BQ527" s="1029"/>
      <c r="BR527" s="1029"/>
      <c r="BS527" s="47"/>
    </row>
    <row r="528" spans="1:71" s="25" customFormat="1" ht="15" hidden="1" outlineLevel="2">
      <c r="A528" s="43" t="s">
        <v>536</v>
      </c>
      <c r="B528" s="496"/>
      <c r="C528" s="1016"/>
      <c r="D528" s="1016"/>
      <c r="E528" s="1016"/>
      <c r="F528" s="1015">
        <f t="shared" si="1788" ref="F528">SUM(F526:F527)</f>
        <v>1.064754856614246</v>
      </c>
      <c r="G528" s="1015">
        <f t="shared" si="1789" ref="G528">SUM(G526:G527)</f>
        <v>0.95934256055363321</v>
      </c>
      <c r="H528" s="158">
        <f t="shared" si="1790" ref="H528">SUM(H526:H527)</f>
        <v>1.0263157894736843</v>
      </c>
      <c r="I528" s="158">
        <f t="shared" si="1791" ref="I528">SUM(I526:I527)</f>
        <v>1.1915584415584415</v>
      </c>
      <c r="J528" s="158">
        <f t="shared" si="1792" ref="J528">SUM(J526:J527)</f>
        <v>1.0974842767295598</v>
      </c>
      <c r="K528" s="158">
        <f t="shared" si="1793" ref="K528">SUM(K526:K527)</f>
        <v>0.93059936908517349</v>
      </c>
      <c r="L528" s="1015">
        <f t="shared" si="1794" ref="L528">SUM(L526:L527)</f>
        <v>1.0609462710505213</v>
      </c>
      <c r="M528" s="158">
        <f t="shared" si="1795" ref="M528">SUM(M526:M527)</f>
        <v>0.9561128526645768</v>
      </c>
      <c r="N528" s="158">
        <f t="shared" si="1796" ref="N528">SUM(N526:N527)</f>
        <v>1.1572327044025157</v>
      </c>
      <c r="O528" s="158">
        <f t="shared" si="1797" ref="O528">SUM(O526:O527)</f>
        <v>1.0125391849529781</v>
      </c>
      <c r="P528" s="158">
        <f t="shared" si="1798" ref="P528">SUM(P526:P527)</f>
        <v>0.95527156549520764</v>
      </c>
      <c r="Q528" s="1015">
        <f t="shared" si="1799" ref="Q528">SUM(Q526:Q527)</f>
        <v>1.0204885736800631</v>
      </c>
      <c r="R528" s="158">
        <f t="shared" si="1800" ref="R528">SUM(R526:R527)</f>
        <v>1.058252427184466</v>
      </c>
      <c r="S528" s="158">
        <f t="shared" si="1801" ref="S528">SUM(S526:S527)</f>
        <v>1.049342105263158</v>
      </c>
      <c r="T528" s="158">
        <f t="shared" si="1802" ref="T528">SUM(T526:T527)</f>
        <v>0.98327759197324416</v>
      </c>
      <c r="U528" s="158">
        <f t="shared" si="1803" ref="U528">SUM(U526:U527)</f>
        <v>0.90</v>
      </c>
      <c r="V528" s="1015">
        <f t="shared" si="1804" ref="V528">SUM(V526:V527)</f>
        <v>0.99916805324459235</v>
      </c>
      <c r="W528" s="158">
        <f t="shared" si="1805" ref="W528">SUM(W526:W527)</f>
        <v>1.11660777385159</v>
      </c>
      <c r="X528" s="158">
        <f t="shared" si="1806" ref="X528">SUM(X526:X527)</f>
        <v>1.0437956204379562</v>
      </c>
      <c r="Y528" s="158">
        <f t="shared" si="1807" ref="Y528">SUM(Y526:Y527)</f>
        <v>0.89219330855018586</v>
      </c>
      <c r="Z528" s="158">
        <f t="shared" si="1808" ref="Z528">SUM(Z526:Z527)</f>
        <v>1.0643939393939394</v>
      </c>
      <c r="AA528" s="1015">
        <f t="shared" si="1809" ref="AA528">SUM(AA526:AA527)</f>
        <v>1.0302752293577981</v>
      </c>
      <c r="AB528" s="158">
        <f t="shared" si="1810" ref="AB528">SUM(AB526:AB527)</f>
        <v>0.97665369649805456</v>
      </c>
      <c r="AC528" s="158">
        <f t="shared" si="1811" ref="AC528">SUM(AC526:AC527)</f>
        <v>0.98046875</v>
      </c>
      <c r="AD528" s="158">
        <f t="shared" si="1812" ref="AD528">SUM(AD526:AD527)</f>
        <v>0.95669291338582674</v>
      </c>
      <c r="AE528" s="158">
        <f t="shared" si="1813" ref="AE528">SUM(AE526:AE527)</f>
        <v>1.015625</v>
      </c>
      <c r="AF528" s="1015">
        <f t="shared" si="1814" ref="AF528">SUM(AF526:AF527)</f>
        <v>0.98240469208211145</v>
      </c>
      <c r="AG528" s="158">
        <f t="shared" si="1815" ref="AG528:AK528">SUM(AG526:AG527)</f>
        <v>1.0079051383399209</v>
      </c>
      <c r="AH528" s="158">
        <f t="shared" si="1815"/>
        <v>0.97244094488188981</v>
      </c>
      <c r="AI528" s="158">
        <f t="shared" si="1815"/>
        <v>1.0583657587548638</v>
      </c>
      <c r="AJ528" s="158">
        <f t="shared" si="1815"/>
        <v>0.93307086614173229</v>
      </c>
      <c r="AK528" s="1015">
        <f t="shared" si="1815"/>
        <v>0.99312377210216107</v>
      </c>
      <c r="AL528" s="158">
        <f>SUM(AL526:AL527)</f>
        <v>0.9453125</v>
      </c>
      <c r="AM528" s="158">
        <f>SUM(AM526:AM527)</f>
        <v>0.97628458498023718</v>
      </c>
      <c r="AN528" s="158">
        <f>SUM(AN526:AN527)</f>
        <v>0.82661290322580649</v>
      </c>
      <c r="AO528" s="158">
        <f t="shared" si="1816" ref="AO528:AP528">SUM(AO526:AO527)</f>
        <v>0.95041322314049581</v>
      </c>
      <c r="AP528" s="1015">
        <f t="shared" si="1816"/>
        <v>0.92492492492492495</v>
      </c>
      <c r="AQ528" s="393"/>
      <c r="AR528" s="393"/>
      <c r="AS528" s="393"/>
      <c r="AT528" s="393"/>
      <c r="AU528" s="1016"/>
      <c r="AV528" s="393"/>
      <c r="AW528" s="393"/>
      <c r="AX528" s="393"/>
      <c r="AY528" s="393"/>
      <c r="AZ528" s="1016"/>
      <c r="BA528" s="393"/>
      <c r="BB528" s="393"/>
      <c r="BC528" s="393"/>
      <c r="BD528" s="393"/>
      <c r="BE528" s="1016"/>
      <c r="BF528" s="393"/>
      <c r="BG528" s="393"/>
      <c r="BH528" s="751"/>
      <c r="BI528" s="393"/>
      <c r="BJ528" s="1016"/>
      <c r="BK528" s="393"/>
      <c r="BL528" s="393"/>
      <c r="BM528" s="393"/>
      <c r="BN528" s="393"/>
      <c r="BO528" s="1016"/>
      <c r="BP528" s="1016"/>
      <c r="BQ528" s="1016"/>
      <c r="BR528" s="1016"/>
      <c r="BS528" s="158"/>
    </row>
    <row r="529" spans="1:71" s="24" customFormat="1" ht="15" hidden="1" outlineLevel="2">
      <c r="A529" s="45" t="s">
        <v>537</v>
      </c>
      <c r="B529" s="494"/>
      <c r="C529" s="1011"/>
      <c r="D529" s="1011"/>
      <c r="E529" s="1011"/>
      <c r="F529" s="1012">
        <v>-0.126</v>
      </c>
      <c r="G529" s="1012">
        <v>-0.051999999999999998</v>
      </c>
      <c r="H529" s="905">
        <v>-0.112</v>
      </c>
      <c r="I529" s="905">
        <v>-0.23699999999999999</v>
      </c>
      <c r="J529" s="905">
        <v>-0.16400000000000001</v>
      </c>
      <c r="K529" s="905">
        <v>-0.019</v>
      </c>
      <c r="L529" s="1012">
        <v>-0.13200000000000001</v>
      </c>
      <c r="M529" s="905">
        <v>-0.063</v>
      </c>
      <c r="N529" s="905">
        <v>-0.186</v>
      </c>
      <c r="O529" s="905">
        <v>-0.052999999999999999</v>
      </c>
      <c r="P529" s="905">
        <v>-0.048000000000000001</v>
      </c>
      <c r="Q529" s="1012">
        <v>-0.086999999999999994</v>
      </c>
      <c r="R529" s="905">
        <v>-0.13300000000000001</v>
      </c>
      <c r="S529" s="905">
        <v>-0.112</v>
      </c>
      <c r="T529" s="905">
        <v>-0.09</v>
      </c>
      <c r="U529" s="905">
        <v>-0.031</v>
      </c>
      <c r="V529" s="1012">
        <v>-0.091999999999999998</v>
      </c>
      <c r="W529" s="905">
        <v>-0.23699999999999999</v>
      </c>
      <c r="X529" s="905">
        <v>-0.19</v>
      </c>
      <c r="Y529" s="905">
        <v>-0.045</v>
      </c>
      <c r="Z529" s="905">
        <v>-0.23400000000000001</v>
      </c>
      <c r="AA529" s="1012">
        <v>-0.17699999999999999</v>
      </c>
      <c r="AB529" s="905">
        <v>-0.113</v>
      </c>
      <c r="AC529" s="905">
        <v>-0.156</v>
      </c>
      <c r="AD529" s="905">
        <v>-0.090999999999999998</v>
      </c>
      <c r="AE529" s="905">
        <v>-0.039</v>
      </c>
      <c r="AF529" s="1012">
        <v>-0.10000000000000001</v>
      </c>
      <c r="AG529" s="905">
        <v>-0.11899999999999999</v>
      </c>
      <c r="AH529" s="905">
        <v>-0.10199999999999999</v>
      </c>
      <c r="AI529" s="905">
        <v>-0.183</v>
      </c>
      <c r="AJ529" s="905">
        <v>-0.047</v>
      </c>
      <c r="AK529" s="1012">
        <v>-0.113</v>
      </c>
      <c r="AL529" s="905">
        <v>-0.047</v>
      </c>
      <c r="AM529" s="905">
        <v>-0.23300000000000001</v>
      </c>
      <c r="AN529" s="905">
        <v>-0.021000000000000001</v>
      </c>
      <c r="AO529" s="905">
        <v>-0.078</v>
      </c>
      <c r="AP529" s="1012">
        <v>-0.095</v>
      </c>
      <c r="AQ529" s="130"/>
      <c r="AR529" s="130"/>
      <c r="AS529" s="130"/>
      <c r="AT529" s="130"/>
      <c r="AU529" s="1011"/>
      <c r="AV529" s="130"/>
      <c r="AW529" s="130"/>
      <c r="AX529" s="130"/>
      <c r="AY529" s="130"/>
      <c r="AZ529" s="1011"/>
      <c r="BA529" s="130"/>
      <c r="BB529" s="130"/>
      <c r="BC529" s="130"/>
      <c r="BD529" s="130"/>
      <c r="BE529" s="1011"/>
      <c r="BF529" s="130"/>
      <c r="BG529" s="130"/>
      <c r="BH529" s="748"/>
      <c r="BI529" s="130"/>
      <c r="BJ529" s="1011"/>
      <c r="BK529" s="130"/>
      <c r="BL529" s="130"/>
      <c r="BM529" s="130"/>
      <c r="BN529" s="130"/>
      <c r="BO529" s="1011"/>
      <c r="BP529" s="1011"/>
      <c r="BQ529" s="1011"/>
      <c r="BR529" s="1011"/>
      <c r="BS529" s="47"/>
    </row>
    <row r="530" spans="1:71" s="24" customFormat="1" ht="15" hidden="1" outlineLevel="2">
      <c r="A530" s="63" t="s">
        <v>538</v>
      </c>
      <c r="B530" s="495"/>
      <c r="C530" s="1029"/>
      <c r="D530" s="1029"/>
      <c r="E530" s="1029"/>
      <c r="F530" s="1028">
        <v>0.021000000000000001</v>
      </c>
      <c r="G530" s="1028">
        <v>0.03</v>
      </c>
      <c r="H530" s="911">
        <v>0.0040000000000000001</v>
      </c>
      <c r="I530" s="911">
        <v>-0.0070000000000000001</v>
      </c>
      <c r="J530" s="911">
        <v>0.023</v>
      </c>
      <c r="K530" s="911">
        <v>0.015</v>
      </c>
      <c r="L530" s="1028">
        <v>0.0080000000000000002</v>
      </c>
      <c r="M530" s="911">
        <v>0.012999999999999999</v>
      </c>
      <c r="N530" s="911">
        <v>-0.0060000000000000001</v>
      </c>
      <c r="O530" s="911">
        <v>-0.050999999999999997</v>
      </c>
      <c r="P530" s="911">
        <v>0.016</v>
      </c>
      <c r="Q530" s="1028">
        <v>-0.0070000000000000001</v>
      </c>
      <c r="R530" s="911">
        <v>-0.042000000000000003</v>
      </c>
      <c r="S530" s="911">
        <v>-0.0089999999999999993</v>
      </c>
      <c r="T530" s="911">
        <v>0</v>
      </c>
      <c r="U530" s="911">
        <v>0.037999999999999999</v>
      </c>
      <c r="V530" s="1028">
        <v>-0.0040000000000000001</v>
      </c>
      <c r="W530" s="911">
        <v>-0.014</v>
      </c>
      <c r="X530" s="911">
        <v>0.021999999999999999</v>
      </c>
      <c r="Y530" s="911">
        <v>0.0080000000000000002</v>
      </c>
      <c r="Z530" s="911">
        <v>0.034000000000000002</v>
      </c>
      <c r="AA530" s="1028">
        <v>0.012</v>
      </c>
      <c r="AB530" s="911">
        <v>0.0080000000000000002</v>
      </c>
      <c r="AC530" s="911">
        <v>0.028000000000000001</v>
      </c>
      <c r="AD530" s="911">
        <v>0.02</v>
      </c>
      <c r="AE530" s="911">
        <v>0.035000000000000003</v>
      </c>
      <c r="AF530" s="1028">
        <v>0.023</v>
      </c>
      <c r="AG530" s="911">
        <v>-0.0040000000000000001</v>
      </c>
      <c r="AH530" s="911">
        <v>0.028000000000000001</v>
      </c>
      <c r="AI530" s="911">
        <v>0.0040000000000000001</v>
      </c>
      <c r="AJ530" s="911">
        <v>-0.0040000000000000001</v>
      </c>
      <c r="AK530" s="1028">
        <v>0.0060000000000000001</v>
      </c>
      <c r="AL530" s="911">
        <v>0</v>
      </c>
      <c r="AM530" s="911">
        <v>0.0040000000000000001</v>
      </c>
      <c r="AN530" s="911">
        <v>0</v>
      </c>
      <c r="AO530" s="911">
        <v>-0.0080000000000000002</v>
      </c>
      <c r="AP530" s="1028">
        <v>-0.001</v>
      </c>
      <c r="AQ530" s="343"/>
      <c r="AR530" s="343"/>
      <c r="AS530" s="343"/>
      <c r="AT530" s="343"/>
      <c r="AU530" s="1029"/>
      <c r="AV530" s="343"/>
      <c r="AW530" s="343"/>
      <c r="AX530" s="343"/>
      <c r="AY530" s="343"/>
      <c r="AZ530" s="1029"/>
      <c r="BA530" s="343"/>
      <c r="BB530" s="343"/>
      <c r="BC530" s="343"/>
      <c r="BD530" s="343"/>
      <c r="BE530" s="1029"/>
      <c r="BF530" s="343"/>
      <c r="BG530" s="343"/>
      <c r="BH530" s="762"/>
      <c r="BI530" s="343"/>
      <c r="BJ530" s="1029"/>
      <c r="BK530" s="343"/>
      <c r="BL530" s="343"/>
      <c r="BM530" s="343"/>
      <c r="BN530" s="343"/>
      <c r="BO530" s="1029"/>
      <c r="BP530" s="1029"/>
      <c r="BQ530" s="1029"/>
      <c r="BR530" s="1029"/>
      <c r="BS530" s="47"/>
    </row>
    <row r="531" spans="1:71" s="25" customFormat="1" ht="15" hidden="1" outlineLevel="2">
      <c r="A531" s="43" t="s">
        <v>539</v>
      </c>
      <c r="B531" s="496"/>
      <c r="C531" s="1016"/>
      <c r="D531" s="1016"/>
      <c r="E531" s="1016"/>
      <c r="F531" s="1015">
        <f t="shared" si="1817" ref="F531">SUM(F528:F530)</f>
        <v>0.95975485661424598</v>
      </c>
      <c r="G531" s="1015">
        <f t="shared" si="1818" ref="G531">SUM(G528:G530)</f>
        <v>0.93734256055363319</v>
      </c>
      <c r="H531" s="158">
        <f t="shared" si="1819" ref="H531">SUM(H528:H530)</f>
        <v>0.91831578947368431</v>
      </c>
      <c r="I531" s="158">
        <f t="shared" si="1820" ref="I531">SUM(I528:I530)</f>
        <v>0.94755844155844149</v>
      </c>
      <c r="J531" s="158">
        <f t="shared" si="1821" ref="J531">SUM(J528:J530)</f>
        <v>0.95648427672955982</v>
      </c>
      <c r="K531" s="158">
        <f t="shared" si="1822" ref="K531">SUM(K528:K530)</f>
        <v>0.92659936908517349</v>
      </c>
      <c r="L531" s="1015">
        <f t="shared" si="1823" ref="L531">SUM(L528:L530)</f>
        <v>0.93694627105052131</v>
      </c>
      <c r="M531" s="158">
        <f t="shared" si="1824" ref="M531">SUM(M528:M530)</f>
        <v>0.90611285266457686</v>
      </c>
      <c r="N531" s="158">
        <f t="shared" si="1825" ref="N531">SUM(N528:N530)</f>
        <v>0.96523270440251574</v>
      </c>
      <c r="O531" s="158">
        <f t="shared" si="1826" ref="O531">SUM(O528:O530)</f>
        <v>0.90853918495297803</v>
      </c>
      <c r="P531" s="158">
        <f t="shared" si="1827" ref="P531">SUM(P528:P530)</f>
        <v>0.92327156549520761</v>
      </c>
      <c r="Q531" s="1015">
        <f t="shared" si="1828" ref="Q531">SUM(Q528:Q530)</f>
        <v>0.9264885736800631</v>
      </c>
      <c r="R531" s="158">
        <f t="shared" si="1829" ref="R531">SUM(R528:R530)</f>
        <v>0.88325242718446595</v>
      </c>
      <c r="S531" s="158">
        <f t="shared" si="1830" ref="S531">SUM(S528:S530)</f>
        <v>0.92834210526315797</v>
      </c>
      <c r="T531" s="158">
        <f t="shared" si="1831" ref="T531">SUM(T528:T530)</f>
        <v>0.89327759197324419</v>
      </c>
      <c r="U531" s="158">
        <f t="shared" si="1832" ref="U531">SUM(U528:U530)</f>
        <v>0.90700000000000003</v>
      </c>
      <c r="V531" s="1015">
        <f t="shared" si="1833" ref="V531">SUM(V528:V530)</f>
        <v>0.90316805324459237</v>
      </c>
      <c r="W531" s="158">
        <f t="shared" si="1834" ref="W531">SUM(W528:W530)</f>
        <v>0.86560777385159005</v>
      </c>
      <c r="X531" s="158">
        <f t="shared" si="1835" ref="X531">SUM(X528:X530)</f>
        <v>0.87579562043795622</v>
      </c>
      <c r="Y531" s="158">
        <f t="shared" si="1836" ref="Y531">SUM(Y528:Y530)</f>
        <v>0.85519330855018583</v>
      </c>
      <c r="Z531" s="158">
        <f t="shared" si="1837" ref="Z531">SUM(Z528:Z530)</f>
        <v>0.86439393939393949</v>
      </c>
      <c r="AA531" s="1015">
        <f t="shared" si="1838" ref="AA531:AF531">SUM(AA528:AA530)</f>
        <v>0.8652752293577981</v>
      </c>
      <c r="AB531" s="158">
        <f t="shared" si="1838"/>
        <v>0.87165369649805458</v>
      </c>
      <c r="AC531" s="158">
        <f t="shared" si="1838"/>
        <v>0.85246875</v>
      </c>
      <c r="AD531" s="158">
        <f t="shared" si="1838"/>
        <v>0.88569291338582679</v>
      </c>
      <c r="AE531" s="158">
        <f t="shared" si="1838"/>
        <v>1.011625</v>
      </c>
      <c r="AF531" s="1015">
        <f t="shared" si="1838"/>
        <v>0.9054046920821115</v>
      </c>
      <c r="AG531" s="158">
        <f>SUM(AG528:AG530)</f>
        <v>0.8849051383399209</v>
      </c>
      <c r="AH531" s="158">
        <f t="shared" si="1839" ref="AH531:AL531">SUM(AH528:AH530)</f>
        <v>0.89844094488188986</v>
      </c>
      <c r="AI531" s="158">
        <f t="shared" si="1839"/>
        <v>0.87936575875486378</v>
      </c>
      <c r="AJ531" s="158">
        <f t="shared" si="1839"/>
        <v>0.88207086614173225</v>
      </c>
      <c r="AK531" s="1015">
        <f t="shared" si="1839"/>
        <v>0.88612377210216109</v>
      </c>
      <c r="AL531" s="158">
        <f t="shared" si="1839"/>
        <v>0.89831249999999996</v>
      </c>
      <c r="AM531" s="158">
        <f>SUM(AM528:AM530)</f>
        <v>0.7472845849802372</v>
      </c>
      <c r="AN531" s="158">
        <f>SUM(AN528:AN530)</f>
        <v>0.80561290322580648</v>
      </c>
      <c r="AO531" s="158">
        <f t="shared" si="1840" ref="AO531:AP531">SUM(AO528:AO530)</f>
        <v>0.86441322314049585</v>
      </c>
      <c r="AP531" s="1015">
        <f t="shared" si="1840"/>
        <v>0.82892492492492498</v>
      </c>
      <c r="AQ531" s="393"/>
      <c r="AR531" s="393"/>
      <c r="AS531" s="393"/>
      <c r="AT531" s="393"/>
      <c r="AU531" s="1016"/>
      <c r="AV531" s="393"/>
      <c r="AW531" s="393"/>
      <c r="AX531" s="393"/>
      <c r="AY531" s="393"/>
      <c r="AZ531" s="1016"/>
      <c r="BA531" s="393"/>
      <c r="BB531" s="393"/>
      <c r="BC531" s="393"/>
      <c r="BD531" s="393"/>
      <c r="BE531" s="1016"/>
      <c r="BF531" s="393"/>
      <c r="BG531" s="393"/>
      <c r="BH531" s="751"/>
      <c r="BI531" s="393"/>
      <c r="BJ531" s="1016"/>
      <c r="BK531" s="393"/>
      <c r="BL531" s="393"/>
      <c r="BM531" s="393"/>
      <c r="BN531" s="393"/>
      <c r="BO531" s="1016"/>
      <c r="BP531" s="1016"/>
      <c r="BQ531" s="1016"/>
      <c r="BR531" s="1016"/>
      <c r="BS531" s="158"/>
    </row>
    <row r="532" spans="1:71" s="22" customFormat="1" ht="15" hidden="1" outlineLevel="1">
      <c r="A532" s="480"/>
      <c r="B532" s="485"/>
      <c r="C532" s="1010"/>
      <c r="D532" s="1010"/>
      <c r="E532" s="1010"/>
      <c r="F532" s="1010"/>
      <c r="G532" s="1010"/>
      <c r="H532" s="840"/>
      <c r="I532" s="840"/>
      <c r="J532" s="840"/>
      <c r="K532" s="840"/>
      <c r="L532" s="1010"/>
      <c r="M532" s="840"/>
      <c r="N532" s="840"/>
      <c r="O532" s="840"/>
      <c r="P532" s="840"/>
      <c r="Q532" s="1010"/>
      <c r="R532" s="840"/>
      <c r="S532" s="840"/>
      <c r="T532" s="840"/>
      <c r="U532" s="840"/>
      <c r="V532" s="1010"/>
      <c r="W532" s="840"/>
      <c r="X532" s="840"/>
      <c r="Y532" s="840"/>
      <c r="Z532" s="840"/>
      <c r="AA532" s="1010"/>
      <c r="AB532" s="840"/>
      <c r="AC532" s="840"/>
      <c r="AD532" s="840"/>
      <c r="AE532" s="840"/>
      <c r="AF532" s="1010"/>
      <c r="AG532" s="840"/>
      <c r="AH532" s="840"/>
      <c r="AI532" s="840"/>
      <c r="AJ532" s="840"/>
      <c r="AK532" s="1010"/>
      <c r="AL532" s="840"/>
      <c r="AM532" s="840"/>
      <c r="AN532" s="840"/>
      <c r="AO532" s="840"/>
      <c r="AP532" s="1010"/>
      <c r="AQ532" s="840"/>
      <c r="AR532" s="840"/>
      <c r="AS532" s="840"/>
      <c r="AT532" s="840"/>
      <c r="AU532" s="1010"/>
      <c r="AV532" s="840"/>
      <c r="AW532" s="840"/>
      <c r="AX532" s="840"/>
      <c r="AY532" s="840"/>
      <c r="AZ532" s="1010"/>
      <c r="BA532" s="840"/>
      <c r="BB532" s="840"/>
      <c r="BC532" s="840"/>
      <c r="BD532" s="840"/>
      <c r="BE532" s="1010"/>
      <c r="BF532" s="840"/>
      <c r="BG532" s="840"/>
      <c r="BH532" s="841"/>
      <c r="BI532" s="840"/>
      <c r="BJ532" s="1010"/>
      <c r="BK532" s="840"/>
      <c r="BL532" s="840"/>
      <c r="BM532" s="840"/>
      <c r="BN532" s="840"/>
      <c r="BO532" s="1010"/>
      <c r="BP532" s="1010"/>
      <c r="BQ532" s="1010"/>
      <c r="BR532" s="1010"/>
      <c r="BS532" s="822"/>
    </row>
    <row r="533" spans="1:71" s="17" customFormat="1" ht="15" hidden="1" outlineLevel="1">
      <c r="A533" s="818" t="s">
        <v>830</v>
      </c>
      <c r="B533" s="818"/>
      <c r="C533" s="837"/>
      <c r="D533" s="837"/>
      <c r="E533" s="837"/>
      <c r="F533" s="837"/>
      <c r="G533" s="837"/>
      <c r="H533" s="837"/>
      <c r="I533" s="837"/>
      <c r="J533" s="837"/>
      <c r="K533" s="837"/>
      <c r="L533" s="837"/>
      <c r="M533" s="837"/>
      <c r="N533" s="837"/>
      <c r="O533" s="837"/>
      <c r="P533" s="837"/>
      <c r="Q533" s="837"/>
      <c r="R533" s="837"/>
      <c r="S533" s="837"/>
      <c r="T533" s="837"/>
      <c r="U533" s="837"/>
      <c r="V533" s="837"/>
      <c r="W533" s="837"/>
      <c r="X533" s="837"/>
      <c r="Y533" s="837"/>
      <c r="Z533" s="837"/>
      <c r="AA533" s="837"/>
      <c r="AB533" s="837"/>
      <c r="AC533" s="837"/>
      <c r="AD533" s="837"/>
      <c r="AE533" s="837"/>
      <c r="AF533" s="837"/>
      <c r="AG533" s="837"/>
      <c r="AH533" s="837"/>
      <c r="AI533" s="837"/>
      <c r="AJ533" s="837"/>
      <c r="AK533" s="837"/>
      <c r="AL533" s="837"/>
      <c r="AM533" s="837"/>
      <c r="AN533" s="837"/>
      <c r="AO533" s="837"/>
      <c r="AP533" s="837"/>
      <c r="AQ533" s="837"/>
      <c r="AR533" s="837"/>
      <c r="AS533" s="837"/>
      <c r="AT533" s="837"/>
      <c r="AU533" s="837"/>
      <c r="AV533" s="837"/>
      <c r="AW533" s="837"/>
      <c r="AX533" s="837"/>
      <c r="AY533" s="837"/>
      <c r="AZ533" s="837"/>
      <c r="BA533" s="837"/>
      <c r="BB533" s="837"/>
      <c r="BC533" s="837"/>
      <c r="BD533" s="837"/>
      <c r="BE533" s="837"/>
      <c r="BF533" s="837"/>
      <c r="BG533" s="837"/>
      <c r="BH533" s="838"/>
      <c r="BI533" s="837"/>
      <c r="BJ533" s="837"/>
      <c r="BK533" s="837"/>
      <c r="BL533" s="837"/>
      <c r="BM533" s="837"/>
      <c r="BN533" s="837"/>
      <c r="BO533" s="837"/>
      <c r="BP533" s="837"/>
      <c r="BQ533" s="837"/>
      <c r="BR533" s="837"/>
      <c r="BS533" s="457"/>
    </row>
    <row r="534" spans="1:71" s="300" customFormat="1" ht="15" hidden="1" outlineLevel="2">
      <c r="A534" s="304" t="s">
        <v>566</v>
      </c>
      <c r="B534" s="233"/>
      <c r="C534" s="989"/>
      <c r="D534" s="989"/>
      <c r="E534" s="989"/>
      <c r="F534" s="989"/>
      <c r="G534" s="989"/>
      <c r="H534" s="92"/>
      <c r="I534" s="92"/>
      <c r="J534" s="92"/>
      <c r="K534" s="92"/>
      <c r="L534" s="989"/>
      <c r="M534" s="92"/>
      <c r="N534" s="92"/>
      <c r="O534" s="92"/>
      <c r="P534" s="92"/>
      <c r="Q534" s="988">
        <v>1223</v>
      </c>
      <c r="R534" s="897">
        <v>312</v>
      </c>
      <c r="S534" s="897">
        <v>310</v>
      </c>
      <c r="T534" s="897">
        <v>310</v>
      </c>
      <c r="U534" s="305">
        <f>V534-SUM(R534,S534,T534)</f>
        <v>318</v>
      </c>
      <c r="V534" s="988">
        <v>1250</v>
      </c>
      <c r="W534" s="897">
        <v>321</v>
      </c>
      <c r="X534" s="897">
        <v>319</v>
      </c>
      <c r="Y534" s="897">
        <v>316</v>
      </c>
      <c r="Z534" s="305">
        <f>AA534-SUM(W534,X534,Y534)</f>
        <v>324</v>
      </c>
      <c r="AA534" s="988">
        <v>1280</v>
      </c>
      <c r="AB534" s="897">
        <v>327</v>
      </c>
      <c r="AC534" s="897">
        <v>326</v>
      </c>
      <c r="AD534" s="897">
        <v>322</v>
      </c>
      <c r="AE534" s="305">
        <f>AF534-SUM(AB534,AC534,AD534)</f>
        <v>340</v>
      </c>
      <c r="AF534" s="988">
        <v>1315</v>
      </c>
      <c r="AG534" s="897">
        <v>337</v>
      </c>
      <c r="AH534" s="897">
        <v>333</v>
      </c>
      <c r="AI534" s="897">
        <v>331</v>
      </c>
      <c r="AJ534" s="305">
        <f>AK534-SUM(AG534,AH534,AI534)</f>
        <v>342</v>
      </c>
      <c r="AK534" s="988">
        <v>1343</v>
      </c>
      <c r="AL534" s="897">
        <v>333</v>
      </c>
      <c r="AM534" s="897">
        <v>339</v>
      </c>
      <c r="AN534" s="897">
        <v>330</v>
      </c>
      <c r="AO534" s="305">
        <f>AP534-SUM(AL534,AM534,AN534)</f>
        <v>338</v>
      </c>
      <c r="AP534" s="988">
        <v>1340</v>
      </c>
      <c r="AQ534" s="92"/>
      <c r="AR534" s="92"/>
      <c r="AS534" s="92"/>
      <c r="AT534" s="92"/>
      <c r="AU534" s="989"/>
      <c r="AV534" s="92"/>
      <c r="AW534" s="92"/>
      <c r="AX534" s="92"/>
      <c r="AY534" s="92"/>
      <c r="AZ534" s="989"/>
      <c r="BA534" s="92"/>
      <c r="BB534" s="92"/>
      <c r="BC534" s="92"/>
      <c r="BD534" s="92"/>
      <c r="BE534" s="989"/>
      <c r="BF534" s="92"/>
      <c r="BG534" s="92"/>
      <c r="BH534" s="464"/>
      <c r="BI534" s="92"/>
      <c r="BJ534" s="989"/>
      <c r="BK534" s="92"/>
      <c r="BL534" s="92"/>
      <c r="BM534" s="92"/>
      <c r="BN534" s="92"/>
      <c r="BO534" s="989"/>
      <c r="BP534" s="989"/>
      <c r="BQ534" s="989"/>
      <c r="BR534" s="989"/>
      <c r="BS534" s="305"/>
    </row>
    <row r="535" spans="1:71" s="300" customFormat="1" ht="15" hidden="1" outlineLevel="2">
      <c r="A535" s="304" t="s">
        <v>446</v>
      </c>
      <c r="B535" s="233"/>
      <c r="C535" s="989"/>
      <c r="D535" s="989"/>
      <c r="E535" s="989"/>
      <c r="F535" s="989"/>
      <c r="G535" s="989"/>
      <c r="H535" s="92"/>
      <c r="I535" s="92"/>
      <c r="J535" s="92"/>
      <c r="K535" s="92"/>
      <c r="L535" s="989"/>
      <c r="M535" s="92"/>
      <c r="N535" s="92"/>
      <c r="O535" s="92"/>
      <c r="P535" s="92"/>
      <c r="Q535" s="989"/>
      <c r="R535" s="92"/>
      <c r="S535" s="92"/>
      <c r="T535" s="92"/>
      <c r="U535" s="305">
        <f>V535-SUM(R535,S535,T535)</f>
        <v>0</v>
      </c>
      <c r="V535" s="989"/>
      <c r="W535" s="897">
        <v>27</v>
      </c>
      <c r="X535" s="897">
        <v>28</v>
      </c>
      <c r="Y535" s="897">
        <v>26</v>
      </c>
      <c r="Z535" s="305">
        <f>AA535-SUM(W535,X535,Y535)</f>
        <v>33</v>
      </c>
      <c r="AA535" s="988">
        <v>114</v>
      </c>
      <c r="AB535" s="897">
        <v>26</v>
      </c>
      <c r="AC535" s="897">
        <v>28</v>
      </c>
      <c r="AD535" s="897">
        <v>30</v>
      </c>
      <c r="AE535" s="305">
        <f>AF535-SUM(AB535,AC535,AD535)</f>
        <v>35</v>
      </c>
      <c r="AF535" s="988">
        <v>119</v>
      </c>
      <c r="AG535" s="897">
        <v>27</v>
      </c>
      <c r="AH535" s="897">
        <v>33</v>
      </c>
      <c r="AI535" s="897">
        <v>31</v>
      </c>
      <c r="AJ535" s="305">
        <f>AK535-SUM(AG535,AH535,AI535)</f>
        <v>34</v>
      </c>
      <c r="AK535" s="988">
        <v>125</v>
      </c>
      <c r="AL535" s="897">
        <v>32</v>
      </c>
      <c r="AM535" s="897">
        <v>24</v>
      </c>
      <c r="AN535" s="897">
        <v>28</v>
      </c>
      <c r="AO535" s="305">
        <f>AP535-SUM(AL535,AM535,AN535)</f>
        <v>37</v>
      </c>
      <c r="AP535" s="988">
        <v>121</v>
      </c>
      <c r="AQ535" s="92"/>
      <c r="AR535" s="92"/>
      <c r="AS535" s="92"/>
      <c r="AT535" s="92"/>
      <c r="AU535" s="989"/>
      <c r="AV535" s="92"/>
      <c r="AW535" s="92"/>
      <c r="AX535" s="92"/>
      <c r="AY535" s="92"/>
      <c r="AZ535" s="989"/>
      <c r="BA535" s="92"/>
      <c r="BB535" s="92"/>
      <c r="BC535" s="92"/>
      <c r="BD535" s="92"/>
      <c r="BE535" s="989"/>
      <c r="BF535" s="92"/>
      <c r="BG535" s="92"/>
      <c r="BH535" s="464"/>
      <c r="BI535" s="92"/>
      <c r="BJ535" s="989"/>
      <c r="BK535" s="92"/>
      <c r="BL535" s="92"/>
      <c r="BM535" s="92"/>
      <c r="BN535" s="92"/>
      <c r="BO535" s="989"/>
      <c r="BP535" s="989"/>
      <c r="BQ535" s="989"/>
      <c r="BR535" s="989"/>
      <c r="BS535" s="305"/>
    </row>
    <row r="536" spans="1:71" s="300" customFormat="1" ht="15" hidden="1" outlineLevel="2">
      <c r="A536" s="304" t="s">
        <v>447</v>
      </c>
      <c r="B536" s="233"/>
      <c r="C536" s="989"/>
      <c r="D536" s="989"/>
      <c r="E536" s="989"/>
      <c r="F536" s="989"/>
      <c r="G536" s="989"/>
      <c r="H536" s="92"/>
      <c r="I536" s="92"/>
      <c r="J536" s="92"/>
      <c r="K536" s="92"/>
      <c r="L536" s="989"/>
      <c r="M536" s="92"/>
      <c r="N536" s="92"/>
      <c r="O536" s="92"/>
      <c r="P536" s="92"/>
      <c r="Q536" s="988">
        <v>490</v>
      </c>
      <c r="R536" s="897">
        <v>120</v>
      </c>
      <c r="S536" s="897">
        <v>118</v>
      </c>
      <c r="T536" s="897">
        <v>120</v>
      </c>
      <c r="U536" s="305">
        <f>V536-SUM(R536,S536,T536)</f>
        <v>124</v>
      </c>
      <c r="V536" s="988">
        <v>482</v>
      </c>
      <c r="W536" s="897">
        <v>120</v>
      </c>
      <c r="X536" s="897">
        <v>123</v>
      </c>
      <c r="Y536" s="897">
        <v>119</v>
      </c>
      <c r="Z536" s="305">
        <f>AA536-SUM(W536,X536,Y536)</f>
        <v>127</v>
      </c>
      <c r="AA536" s="988">
        <v>489</v>
      </c>
      <c r="AB536" s="897">
        <v>122</v>
      </c>
      <c r="AC536" s="897">
        <v>130</v>
      </c>
      <c r="AD536" s="897">
        <v>128</v>
      </c>
      <c r="AE536" s="305">
        <f>AF536-SUM(AB536,AC536,AD536)</f>
        <v>125</v>
      </c>
      <c r="AF536" s="988">
        <v>505</v>
      </c>
      <c r="AG536" s="897">
        <v>127</v>
      </c>
      <c r="AH536" s="897">
        <v>125</v>
      </c>
      <c r="AI536" s="897">
        <v>128</v>
      </c>
      <c r="AJ536" s="305">
        <f>AK536-SUM(AG536,AH536,AI536)</f>
        <v>134</v>
      </c>
      <c r="AK536" s="988">
        <v>514</v>
      </c>
      <c r="AL536" s="897">
        <v>128</v>
      </c>
      <c r="AM536" s="897">
        <v>123</v>
      </c>
      <c r="AN536" s="897">
        <v>123</v>
      </c>
      <c r="AO536" s="305">
        <f>AP536-SUM(AL536,AM536,AN536)</f>
        <v>128</v>
      </c>
      <c r="AP536" s="988">
        <v>502</v>
      </c>
      <c r="AQ536" s="92"/>
      <c r="AR536" s="92"/>
      <c r="AS536" s="92"/>
      <c r="AT536" s="92"/>
      <c r="AU536" s="989"/>
      <c r="AV536" s="92"/>
      <c r="AW536" s="92"/>
      <c r="AX536" s="92"/>
      <c r="AY536" s="92"/>
      <c r="AZ536" s="989"/>
      <c r="BA536" s="92"/>
      <c r="BB536" s="92"/>
      <c r="BC536" s="92"/>
      <c r="BD536" s="92"/>
      <c r="BE536" s="989"/>
      <c r="BF536" s="92"/>
      <c r="BG536" s="92"/>
      <c r="BH536" s="464"/>
      <c r="BI536" s="92"/>
      <c r="BJ536" s="989"/>
      <c r="BK536" s="92"/>
      <c r="BL536" s="92"/>
      <c r="BM536" s="92"/>
      <c r="BN536" s="92"/>
      <c r="BO536" s="989"/>
      <c r="BP536" s="989"/>
      <c r="BQ536" s="989"/>
      <c r="BR536" s="989"/>
      <c r="BS536" s="305"/>
    </row>
    <row r="537" spans="1:71" s="300" customFormat="1" ht="15" hidden="1" outlineLevel="2">
      <c r="A537" s="110" t="s">
        <v>563</v>
      </c>
      <c r="B537" s="113"/>
      <c r="C537" s="995"/>
      <c r="D537" s="995"/>
      <c r="E537" s="995"/>
      <c r="F537" s="995"/>
      <c r="G537" s="995"/>
      <c r="H537" s="115"/>
      <c r="I537" s="115"/>
      <c r="J537" s="115"/>
      <c r="K537" s="115"/>
      <c r="L537" s="995"/>
      <c r="M537" s="115"/>
      <c r="N537" s="115"/>
      <c r="O537" s="115"/>
      <c r="P537" s="115"/>
      <c r="Q537" s="990">
        <v>2</v>
      </c>
      <c r="R537" s="900">
        <v>-12</v>
      </c>
      <c r="S537" s="900">
        <v>-3</v>
      </c>
      <c r="T537" s="900">
        <v>-10</v>
      </c>
      <c r="U537" s="58">
        <f>V537-SUM(R537,S537,T537)</f>
        <v>-13</v>
      </c>
      <c r="V537" s="990">
        <v>-38</v>
      </c>
      <c r="W537" s="900">
        <v>1</v>
      </c>
      <c r="X537" s="900">
        <v>1</v>
      </c>
      <c r="Y537" s="900">
        <v>2</v>
      </c>
      <c r="Z537" s="58">
        <f>AA537-SUM(W537,X537,Y537)</f>
        <v>1</v>
      </c>
      <c r="AA537" s="990">
        <v>5</v>
      </c>
      <c r="AB537" s="900">
        <v>-3</v>
      </c>
      <c r="AC537" s="900">
        <v>-3</v>
      </c>
      <c r="AD537" s="900">
        <v>-3</v>
      </c>
      <c r="AE537" s="58">
        <f>AF537-SUM(AB537,AC537,AD537)</f>
        <v>-5</v>
      </c>
      <c r="AF537" s="990">
        <v>-14</v>
      </c>
      <c r="AG537" s="900">
        <v>-5</v>
      </c>
      <c r="AH537" s="900">
        <v>1</v>
      </c>
      <c r="AI537" s="900">
        <v>5</v>
      </c>
      <c r="AJ537" s="58">
        <f>AK537-SUM(AG537,AH537,AI537)</f>
        <v>0</v>
      </c>
      <c r="AK537" s="990">
        <v>1</v>
      </c>
      <c r="AL537" s="900">
        <v>-31</v>
      </c>
      <c r="AM537" s="900">
        <v>19</v>
      </c>
      <c r="AN537" s="900">
        <v>9</v>
      </c>
      <c r="AO537" s="58">
        <f>AP537-SUM(AL537,AM537,AN537)</f>
        <v>-7</v>
      </c>
      <c r="AP537" s="990">
        <v>-10</v>
      </c>
      <c r="AQ537" s="115"/>
      <c r="AR537" s="115"/>
      <c r="AS537" s="115"/>
      <c r="AT537" s="115"/>
      <c r="AU537" s="995"/>
      <c r="AV537" s="115"/>
      <c r="AW537" s="115"/>
      <c r="AX537" s="115"/>
      <c r="AY537" s="115"/>
      <c r="AZ537" s="995"/>
      <c r="BA537" s="115"/>
      <c r="BB537" s="115"/>
      <c r="BC537" s="115"/>
      <c r="BD537" s="115"/>
      <c r="BE537" s="995"/>
      <c r="BF537" s="115"/>
      <c r="BG537" s="115"/>
      <c r="BH537" s="641"/>
      <c r="BI537" s="115"/>
      <c r="BJ537" s="995"/>
      <c r="BK537" s="115"/>
      <c r="BL537" s="115"/>
      <c r="BM537" s="115"/>
      <c r="BN537" s="115"/>
      <c r="BO537" s="995"/>
      <c r="BP537" s="995"/>
      <c r="BQ537" s="995"/>
      <c r="BR537" s="995"/>
      <c r="BS537" s="305"/>
    </row>
    <row r="538" spans="1:71" s="51" customFormat="1" ht="15" hidden="1" outlineLevel="2">
      <c r="A538" s="109" t="s">
        <v>564</v>
      </c>
      <c r="B538" s="391"/>
      <c r="C538" s="1000"/>
      <c r="D538" s="1000"/>
      <c r="E538" s="1000"/>
      <c r="F538" s="1000"/>
      <c r="G538" s="1000"/>
      <c r="H538" s="128"/>
      <c r="I538" s="128"/>
      <c r="J538" s="128"/>
      <c r="K538" s="128"/>
      <c r="L538" s="1000"/>
      <c r="M538" s="128"/>
      <c r="N538" s="128"/>
      <c r="O538" s="128"/>
      <c r="P538" s="128"/>
      <c r="Q538" s="999">
        <f t="shared" si="1841" ref="Q538:AL538">SUM(Q534:Q537)</f>
        <v>1715</v>
      </c>
      <c r="R538" s="57">
        <f t="shared" si="1841"/>
        <v>420</v>
      </c>
      <c r="S538" s="57">
        <f t="shared" si="1841"/>
        <v>425</v>
      </c>
      <c r="T538" s="57">
        <f t="shared" si="1841"/>
        <v>420</v>
      </c>
      <c r="U538" s="57">
        <f t="shared" si="1841"/>
        <v>429</v>
      </c>
      <c r="V538" s="999">
        <f t="shared" si="1841"/>
        <v>1694</v>
      </c>
      <c r="W538" s="57">
        <f t="shared" si="1841"/>
        <v>469</v>
      </c>
      <c r="X538" s="57">
        <f t="shared" si="1841"/>
        <v>471</v>
      </c>
      <c r="Y538" s="57">
        <f t="shared" si="1841"/>
        <v>463</v>
      </c>
      <c r="Z538" s="57">
        <f t="shared" si="1841"/>
        <v>485</v>
      </c>
      <c r="AA538" s="999">
        <f t="shared" si="1841"/>
        <v>1888</v>
      </c>
      <c r="AB538" s="57">
        <f t="shared" si="1841"/>
        <v>472</v>
      </c>
      <c r="AC538" s="57">
        <f t="shared" si="1841"/>
        <v>481</v>
      </c>
      <c r="AD538" s="57">
        <f t="shared" si="1841"/>
        <v>477</v>
      </c>
      <c r="AE538" s="57">
        <f t="shared" si="1841"/>
        <v>495</v>
      </c>
      <c r="AF538" s="999">
        <f t="shared" si="1841"/>
        <v>1925</v>
      </c>
      <c r="AG538" s="57">
        <f t="shared" si="1841"/>
        <v>486</v>
      </c>
      <c r="AH538" s="57">
        <f t="shared" si="1841"/>
        <v>492</v>
      </c>
      <c r="AI538" s="57">
        <f t="shared" si="1841"/>
        <v>495</v>
      </c>
      <c r="AJ538" s="57">
        <f t="shared" si="1841"/>
        <v>510</v>
      </c>
      <c r="AK538" s="999">
        <f t="shared" si="1841"/>
        <v>1983</v>
      </c>
      <c r="AL538" s="57">
        <f t="shared" si="1841"/>
        <v>462</v>
      </c>
      <c r="AM538" s="57">
        <f>SUM(AM534:AM537)</f>
        <v>505</v>
      </c>
      <c r="AN538" s="57">
        <f>SUM(AN534:AN537)</f>
        <v>490</v>
      </c>
      <c r="AO538" s="57">
        <f t="shared" si="1842" ref="AO538:AP538">SUM(AO534:AO537)</f>
        <v>496</v>
      </c>
      <c r="AP538" s="999">
        <f t="shared" si="1842"/>
        <v>1953</v>
      </c>
      <c r="AQ538" s="128"/>
      <c r="AR538" s="128"/>
      <c r="AS538" s="128"/>
      <c r="AT538" s="128"/>
      <c r="AU538" s="1000"/>
      <c r="AV538" s="128"/>
      <c r="AW538" s="128"/>
      <c r="AX538" s="128"/>
      <c r="AY538" s="128"/>
      <c r="AZ538" s="1000"/>
      <c r="BA538" s="128"/>
      <c r="BB538" s="128"/>
      <c r="BC538" s="128"/>
      <c r="BD538" s="128"/>
      <c r="BE538" s="1000"/>
      <c r="BF538" s="128"/>
      <c r="BG538" s="128"/>
      <c r="BH538" s="465"/>
      <c r="BI538" s="128"/>
      <c r="BJ538" s="1000"/>
      <c r="BK538" s="128"/>
      <c r="BL538" s="128"/>
      <c r="BM538" s="128"/>
      <c r="BN538" s="128"/>
      <c r="BO538" s="1000"/>
      <c r="BP538" s="1000"/>
      <c r="BQ538" s="1000"/>
      <c r="BR538" s="1000"/>
      <c r="BS538" s="57"/>
    </row>
    <row r="539" spans="1:71" s="300" customFormat="1" ht="15" hidden="1" outlineLevel="2">
      <c r="A539" s="304" t="s">
        <v>448</v>
      </c>
      <c r="B539" s="233"/>
      <c r="C539" s="989"/>
      <c r="D539" s="989"/>
      <c r="E539" s="989"/>
      <c r="F539" s="989"/>
      <c r="G539" s="989"/>
      <c r="H539" s="92"/>
      <c r="I539" s="92"/>
      <c r="J539" s="92"/>
      <c r="K539" s="92"/>
      <c r="L539" s="989"/>
      <c r="M539" s="92"/>
      <c r="N539" s="92"/>
      <c r="O539" s="92"/>
      <c r="P539" s="92"/>
      <c r="Q539" s="988">
        <v>-749</v>
      </c>
      <c r="R539" s="897">
        <v>-180</v>
      </c>
      <c r="S539" s="897">
        <v>-177</v>
      </c>
      <c r="T539" s="897">
        <v>-197</v>
      </c>
      <c r="U539" s="305">
        <f>V539-SUM(R539,S539,T539)</f>
        <v>-188</v>
      </c>
      <c r="V539" s="988">
        <v>-742</v>
      </c>
      <c r="W539" s="897">
        <v>-195</v>
      </c>
      <c r="X539" s="897">
        <v>-187</v>
      </c>
      <c r="Y539" s="897">
        <v>-173</v>
      </c>
      <c r="Z539" s="305">
        <f>AA539-SUM(W539,X539,Y539)</f>
        <v>-210</v>
      </c>
      <c r="AA539" s="988">
        <v>-765</v>
      </c>
      <c r="AB539" s="897">
        <v>-205</v>
      </c>
      <c r="AC539" s="897">
        <v>-195</v>
      </c>
      <c r="AD539" s="897">
        <v>-193</v>
      </c>
      <c r="AE539" s="305">
        <f>AF539-SUM(AB539,AC539,AD539)</f>
        <v>-216</v>
      </c>
      <c r="AF539" s="988">
        <v>-809</v>
      </c>
      <c r="AG539" s="897">
        <v>-214</v>
      </c>
      <c r="AH539" s="897">
        <v>-216</v>
      </c>
      <c r="AI539" s="897">
        <v>-202</v>
      </c>
      <c r="AJ539" s="305">
        <f>AK539-SUM(AG539,AH539,AI539)</f>
        <v>-223</v>
      </c>
      <c r="AK539" s="988">
        <v>-855</v>
      </c>
      <c r="AL539" s="897">
        <v>-212</v>
      </c>
      <c r="AM539" s="897">
        <v>-238</v>
      </c>
      <c r="AN539" s="897">
        <v>-248</v>
      </c>
      <c r="AO539" s="305">
        <f>AP539-SUM(AL539,AM539,AN539)</f>
        <v>-266</v>
      </c>
      <c r="AP539" s="988">
        <v>-964</v>
      </c>
      <c r="AQ539" s="92"/>
      <c r="AR539" s="92"/>
      <c r="AS539" s="92"/>
      <c r="AT539" s="92"/>
      <c r="AU539" s="989"/>
      <c r="AV539" s="92"/>
      <c r="AW539" s="92"/>
      <c r="AX539" s="92"/>
      <c r="AY539" s="92"/>
      <c r="AZ539" s="989"/>
      <c r="BA539" s="92"/>
      <c r="BB539" s="92"/>
      <c r="BC539" s="92"/>
      <c r="BD539" s="92"/>
      <c r="BE539" s="989"/>
      <c r="BF539" s="92"/>
      <c r="BG539" s="92"/>
      <c r="BH539" s="464"/>
      <c r="BI539" s="92"/>
      <c r="BJ539" s="989"/>
      <c r="BK539" s="92"/>
      <c r="BL539" s="92"/>
      <c r="BM539" s="92"/>
      <c r="BN539" s="92"/>
      <c r="BO539" s="989"/>
      <c r="BP539" s="989"/>
      <c r="BQ539" s="989"/>
      <c r="BR539" s="989"/>
      <c r="BS539" s="305"/>
    </row>
    <row r="540" spans="1:71" s="300" customFormat="1" ht="15" hidden="1" outlineLevel="2">
      <c r="A540" s="304" t="s">
        <v>449</v>
      </c>
      <c r="B540" s="233"/>
      <c r="C540" s="989"/>
      <c r="D540" s="989"/>
      <c r="E540" s="989"/>
      <c r="F540" s="989"/>
      <c r="G540" s="989"/>
      <c r="H540" s="92"/>
      <c r="I540" s="92"/>
      <c r="J540" s="92"/>
      <c r="K540" s="92"/>
      <c r="L540" s="989"/>
      <c r="M540" s="92"/>
      <c r="N540" s="92"/>
      <c r="O540" s="92"/>
      <c r="P540" s="92"/>
      <c r="Q540" s="988">
        <v>-282</v>
      </c>
      <c r="R540" s="897">
        <v>-70</v>
      </c>
      <c r="S540" s="897">
        <v>-71</v>
      </c>
      <c r="T540" s="897">
        <v>-72</v>
      </c>
      <c r="U540" s="305">
        <f>V540-SUM(R540,S540,T540)</f>
        <v>-72</v>
      </c>
      <c r="V540" s="988">
        <v>-285</v>
      </c>
      <c r="W540" s="897">
        <v>-69</v>
      </c>
      <c r="X540" s="897">
        <v>-71</v>
      </c>
      <c r="Y540" s="897">
        <v>-71</v>
      </c>
      <c r="Z540" s="305">
        <f>AA540-SUM(W540,X540,Y540)</f>
        <v>-71</v>
      </c>
      <c r="AA540" s="988">
        <v>-282</v>
      </c>
      <c r="AB540" s="897">
        <v>-70</v>
      </c>
      <c r="AC540" s="897">
        <v>-71</v>
      </c>
      <c r="AD540" s="897">
        <v>-72</v>
      </c>
      <c r="AE540" s="305">
        <f>AF540-SUM(AB540,AC540,AD540)</f>
        <v>-72</v>
      </c>
      <c r="AF540" s="988">
        <v>-285</v>
      </c>
      <c r="AG540" s="897">
        <v>-72</v>
      </c>
      <c r="AH540" s="897">
        <v>-70</v>
      </c>
      <c r="AI540" s="897">
        <v>-85</v>
      </c>
      <c r="AJ540" s="305">
        <f>AK540-SUM(AG540,AH540,AI540)</f>
        <v>-72</v>
      </c>
      <c r="AK540" s="988">
        <v>-299</v>
      </c>
      <c r="AL540" s="897">
        <v>-56</v>
      </c>
      <c r="AM540" s="897">
        <v>-114</v>
      </c>
      <c r="AN540" s="897">
        <v>-76</v>
      </c>
      <c r="AO540" s="305">
        <f>AP540-SUM(AL540,AM540,AN540)</f>
        <v>-83</v>
      </c>
      <c r="AP540" s="988">
        <v>-329</v>
      </c>
      <c r="AQ540" s="92"/>
      <c r="AR540" s="92"/>
      <c r="AS540" s="92"/>
      <c r="AT540" s="92"/>
      <c r="AU540" s="989"/>
      <c r="AV540" s="92"/>
      <c r="AW540" s="92"/>
      <c r="AX540" s="92"/>
      <c r="AY540" s="92"/>
      <c r="AZ540" s="989"/>
      <c r="BA540" s="92"/>
      <c r="BB540" s="92"/>
      <c r="BC540" s="92"/>
      <c r="BD540" s="92"/>
      <c r="BE540" s="989"/>
      <c r="BF540" s="92"/>
      <c r="BG540" s="92"/>
      <c r="BH540" s="464"/>
      <c r="BI540" s="92"/>
      <c r="BJ540" s="989"/>
      <c r="BK540" s="92"/>
      <c r="BL540" s="92"/>
      <c r="BM540" s="92"/>
      <c r="BN540" s="92"/>
      <c r="BO540" s="989"/>
      <c r="BP540" s="989"/>
      <c r="BQ540" s="989"/>
      <c r="BR540" s="989"/>
      <c r="BS540" s="305"/>
    </row>
    <row r="541" spans="1:71" s="300" customFormat="1" ht="15" hidden="1" outlineLevel="2">
      <c r="A541" s="304" t="s">
        <v>450</v>
      </c>
      <c r="B541" s="233"/>
      <c r="C541" s="989"/>
      <c r="D541" s="989"/>
      <c r="E541" s="989"/>
      <c r="F541" s="989"/>
      <c r="G541" s="989"/>
      <c r="H541" s="92"/>
      <c r="I541" s="92"/>
      <c r="J541" s="92"/>
      <c r="K541" s="92"/>
      <c r="L541" s="989"/>
      <c r="M541" s="92"/>
      <c r="N541" s="92"/>
      <c r="O541" s="92"/>
      <c r="P541" s="92"/>
      <c r="Q541" s="988">
        <v>-133</v>
      </c>
      <c r="R541" s="897">
        <v>-33</v>
      </c>
      <c r="S541" s="897">
        <v>-34</v>
      </c>
      <c r="T541" s="897">
        <v>-31</v>
      </c>
      <c r="U541" s="305">
        <f>V541-SUM(R541,S541,T541)</f>
        <v>-33</v>
      </c>
      <c r="V541" s="988">
        <v>-131</v>
      </c>
      <c r="W541" s="897">
        <v>-36</v>
      </c>
      <c r="X541" s="897">
        <v>-39</v>
      </c>
      <c r="Y541" s="897">
        <v>-29</v>
      </c>
      <c r="Z541" s="305">
        <f>AA541-SUM(W541,X541,Y541)</f>
        <v>-30</v>
      </c>
      <c r="AA541" s="988">
        <v>-134</v>
      </c>
      <c r="AB541" s="897">
        <v>-33</v>
      </c>
      <c r="AC541" s="897">
        <v>-35</v>
      </c>
      <c r="AD541" s="897">
        <v>-38</v>
      </c>
      <c r="AE541" s="305">
        <f>AF541-SUM(AB541,AC541,AD541)</f>
        <v>-26</v>
      </c>
      <c r="AF541" s="988">
        <v>-132</v>
      </c>
      <c r="AG541" s="897">
        <v>-28</v>
      </c>
      <c r="AH541" s="897">
        <v>-29</v>
      </c>
      <c r="AI541" s="897">
        <v>-84</v>
      </c>
      <c r="AJ541" s="305">
        <f>AK541-SUM(AG541,AH541,AI541)</f>
        <v>-32</v>
      </c>
      <c r="AK541" s="988">
        <v>-173</v>
      </c>
      <c r="AL541" s="897">
        <v>-34</v>
      </c>
      <c r="AM541" s="897">
        <v>-4</v>
      </c>
      <c r="AN541" s="897">
        <v>-106</v>
      </c>
      <c r="AO541" s="305">
        <f>AP541-SUM(AL541,AM541,AN541)</f>
        <v>-5</v>
      </c>
      <c r="AP541" s="988">
        <v>-149</v>
      </c>
      <c r="AQ541" s="92"/>
      <c r="AR541" s="92"/>
      <c r="AS541" s="92"/>
      <c r="AT541" s="92"/>
      <c r="AU541" s="989"/>
      <c r="AV541" s="92"/>
      <c r="AW541" s="92"/>
      <c r="AX541" s="92"/>
      <c r="AY541" s="92"/>
      <c r="AZ541" s="989"/>
      <c r="BA541" s="92"/>
      <c r="BB541" s="92"/>
      <c r="BC541" s="92"/>
      <c r="BD541" s="92"/>
      <c r="BE541" s="989"/>
      <c r="BF541" s="92"/>
      <c r="BG541" s="92"/>
      <c r="BH541" s="464"/>
      <c r="BI541" s="92"/>
      <c r="BJ541" s="989"/>
      <c r="BK541" s="92"/>
      <c r="BL541" s="92"/>
      <c r="BM541" s="92"/>
      <c r="BN541" s="92"/>
      <c r="BO541" s="989"/>
      <c r="BP541" s="989"/>
      <c r="BQ541" s="989"/>
      <c r="BR541" s="989"/>
      <c r="BS541" s="305"/>
    </row>
    <row r="542" spans="1:71" s="300" customFormat="1" ht="15" hidden="1" outlineLevel="2">
      <c r="A542" s="304" t="s">
        <v>451</v>
      </c>
      <c r="B542" s="233"/>
      <c r="C542" s="989"/>
      <c r="D542" s="989"/>
      <c r="E542" s="989"/>
      <c r="F542" s="989"/>
      <c r="G542" s="989"/>
      <c r="H542" s="92"/>
      <c r="I542" s="92"/>
      <c r="J542" s="92"/>
      <c r="K542" s="92"/>
      <c r="L542" s="989"/>
      <c r="M542" s="92"/>
      <c r="N542" s="92"/>
      <c r="O542" s="92"/>
      <c r="P542" s="92"/>
      <c r="Q542" s="988">
        <v>-212</v>
      </c>
      <c r="R542" s="897">
        <v>-56</v>
      </c>
      <c r="S542" s="897">
        <v>-54</v>
      </c>
      <c r="T542" s="897">
        <v>-59</v>
      </c>
      <c r="U542" s="305">
        <f>V542-SUM(R542,S542,T542)</f>
        <v>-56</v>
      </c>
      <c r="V542" s="988">
        <v>-225</v>
      </c>
      <c r="W542" s="897">
        <v>-86</v>
      </c>
      <c r="X542" s="897">
        <v>-86</v>
      </c>
      <c r="Y542" s="897">
        <v>-82</v>
      </c>
      <c r="Z542" s="305">
        <f>AA542-SUM(W542,X542,Y542)</f>
        <v>-98</v>
      </c>
      <c r="AA542" s="988">
        <v>-352</v>
      </c>
      <c r="AB542" s="897">
        <v>-83</v>
      </c>
      <c r="AC542" s="897">
        <v>-86</v>
      </c>
      <c r="AD542" s="897">
        <v>-88</v>
      </c>
      <c r="AE542" s="305">
        <f>AF542-SUM(AB542,AC542,AD542)</f>
        <v>-104</v>
      </c>
      <c r="AF542" s="988">
        <v>-361</v>
      </c>
      <c r="AG542" s="897">
        <v>-91</v>
      </c>
      <c r="AH542" s="897">
        <v>-91</v>
      </c>
      <c r="AI542" s="897">
        <v>-77</v>
      </c>
      <c r="AJ542" s="305">
        <f>AK542-SUM(AG542,AH542,AI542)</f>
        <v>-95</v>
      </c>
      <c r="AK542" s="988">
        <v>-354</v>
      </c>
      <c r="AL542" s="897">
        <v>-84</v>
      </c>
      <c r="AM542" s="897">
        <v>-75</v>
      </c>
      <c r="AN542" s="897">
        <v>-81</v>
      </c>
      <c r="AO542" s="305">
        <f>AP542-SUM(AL542,AM542,AN542)</f>
        <v>-89</v>
      </c>
      <c r="AP542" s="988">
        <v>-329</v>
      </c>
      <c r="AQ542" s="92"/>
      <c r="AR542" s="92"/>
      <c r="AS542" s="92"/>
      <c r="AT542" s="92"/>
      <c r="AU542" s="989"/>
      <c r="AV542" s="92"/>
      <c r="AW542" s="92"/>
      <c r="AX542" s="92"/>
      <c r="AY542" s="92"/>
      <c r="AZ542" s="989"/>
      <c r="BA542" s="92"/>
      <c r="BB542" s="92"/>
      <c r="BC542" s="92"/>
      <c r="BD542" s="92"/>
      <c r="BE542" s="989"/>
      <c r="BF542" s="92"/>
      <c r="BG542" s="92"/>
      <c r="BH542" s="464"/>
      <c r="BI542" s="92"/>
      <c r="BJ542" s="989"/>
      <c r="BK542" s="92"/>
      <c r="BL542" s="92"/>
      <c r="BM542" s="92"/>
      <c r="BN542" s="92"/>
      <c r="BO542" s="989"/>
      <c r="BP542" s="989"/>
      <c r="BQ542" s="989"/>
      <c r="BR542" s="989"/>
      <c r="BS542" s="305"/>
    </row>
    <row r="543" spans="1:71" s="300" customFormat="1" ht="15" hidden="1" outlineLevel="2">
      <c r="A543" s="304" t="s">
        <v>452</v>
      </c>
      <c r="B543" s="233"/>
      <c r="C543" s="989"/>
      <c r="D543" s="989"/>
      <c r="E543" s="989"/>
      <c r="F543" s="989"/>
      <c r="G543" s="989"/>
      <c r="H543" s="92"/>
      <c r="I543" s="92"/>
      <c r="J543" s="92"/>
      <c r="K543" s="92"/>
      <c r="L543" s="989"/>
      <c r="M543" s="92"/>
      <c r="N543" s="92"/>
      <c r="O543" s="92"/>
      <c r="P543" s="92"/>
      <c r="Q543" s="988">
        <v>-1</v>
      </c>
      <c r="R543" s="897">
        <v>0</v>
      </c>
      <c r="S543" s="897">
        <v>-1</v>
      </c>
      <c r="T543" s="897">
        <v>0</v>
      </c>
      <c r="U543" s="305">
        <f>V543-SUM(R543,S543,T543)</f>
        <v>0</v>
      </c>
      <c r="V543" s="988">
        <v>-1</v>
      </c>
      <c r="W543" s="897">
        <v>0</v>
      </c>
      <c r="X543" s="897">
        <v>0</v>
      </c>
      <c r="Y543" s="897">
        <v>-1</v>
      </c>
      <c r="Z543" s="305">
        <f>AA543-SUM(W543,X543,Y543)</f>
        <v>-1</v>
      </c>
      <c r="AA543" s="988">
        <v>-2</v>
      </c>
      <c r="AB543" s="897">
        <v>0</v>
      </c>
      <c r="AC543" s="897">
        <v>-2</v>
      </c>
      <c r="AD543" s="897">
        <v>-1</v>
      </c>
      <c r="AE543" s="305">
        <f>AF543-SUM(AB543,AC543,AD543)</f>
        <v>0</v>
      </c>
      <c r="AF543" s="988">
        <v>-3</v>
      </c>
      <c r="AG543" s="897">
        <v>0</v>
      </c>
      <c r="AH543" s="897">
        <v>-1</v>
      </c>
      <c r="AI543" s="897">
        <v>0</v>
      </c>
      <c r="AJ543" s="305">
        <f>AK543-SUM(AG543,AH543,AI543)</f>
        <v>-1</v>
      </c>
      <c r="AK543" s="988">
        <v>-2</v>
      </c>
      <c r="AL543" s="897">
        <v>-1</v>
      </c>
      <c r="AM543" s="897">
        <v>-2</v>
      </c>
      <c r="AN543" s="897">
        <v>-2</v>
      </c>
      <c r="AO543" s="305">
        <f>AP543-SUM(AL543,AM543,AN543)</f>
        <v>-1</v>
      </c>
      <c r="AP543" s="988">
        <v>-6</v>
      </c>
      <c r="AQ543" s="92"/>
      <c r="AR543" s="92"/>
      <c r="AS543" s="92"/>
      <c r="AT543" s="92"/>
      <c r="AU543" s="989"/>
      <c r="AV543" s="92"/>
      <c r="AW543" s="92"/>
      <c r="AX543" s="92"/>
      <c r="AY543" s="92"/>
      <c r="AZ543" s="989"/>
      <c r="BA543" s="92"/>
      <c r="BB543" s="92"/>
      <c r="BC543" s="92"/>
      <c r="BD543" s="92"/>
      <c r="BE543" s="989"/>
      <c r="BF543" s="92"/>
      <c r="BG543" s="92"/>
      <c r="BH543" s="464"/>
      <c r="BI543" s="92"/>
      <c r="BJ543" s="989"/>
      <c r="BK543" s="92"/>
      <c r="BL543" s="92"/>
      <c r="BM543" s="92"/>
      <c r="BN543" s="92"/>
      <c r="BO543" s="989"/>
      <c r="BP543" s="989"/>
      <c r="BQ543" s="989"/>
      <c r="BR543" s="989"/>
      <c r="BS543" s="305"/>
    </row>
    <row r="544" spans="1:71" s="300" customFormat="1" ht="15" hidden="1" outlineLevel="2">
      <c r="A544" s="110" t="s">
        <v>568</v>
      </c>
      <c r="B544" s="113"/>
      <c r="C544" s="995"/>
      <c r="D544" s="995"/>
      <c r="E544" s="995"/>
      <c r="F544" s="995"/>
      <c r="G544" s="995"/>
      <c r="H544" s="115"/>
      <c r="I544" s="115"/>
      <c r="J544" s="115"/>
      <c r="K544" s="115"/>
      <c r="L544" s="995"/>
      <c r="M544" s="115"/>
      <c r="N544" s="115"/>
      <c r="O544" s="115"/>
      <c r="P544" s="115"/>
      <c r="Q544" s="990">
        <v>-1</v>
      </c>
      <c r="R544" s="115"/>
      <c r="S544" s="115"/>
      <c r="T544" s="115"/>
      <c r="U544" s="115"/>
      <c r="V544" s="995"/>
      <c r="W544" s="115"/>
      <c r="X544" s="115"/>
      <c r="Y544" s="115"/>
      <c r="Z544" s="115"/>
      <c r="AA544" s="995"/>
      <c r="AB544" s="115"/>
      <c r="AC544" s="115"/>
      <c r="AD544" s="115"/>
      <c r="AE544" s="115"/>
      <c r="AF544" s="995"/>
      <c r="AG544" s="115"/>
      <c r="AH544" s="115"/>
      <c r="AI544" s="115"/>
      <c r="AJ544" s="115"/>
      <c r="AK544" s="995"/>
      <c r="AL544" s="115"/>
      <c r="AM544" s="115"/>
      <c r="AN544" s="115"/>
      <c r="AO544" s="115"/>
      <c r="AP544" s="995"/>
      <c r="AQ544" s="115"/>
      <c r="AR544" s="115"/>
      <c r="AS544" s="115"/>
      <c r="AT544" s="115"/>
      <c r="AU544" s="995"/>
      <c r="AV544" s="115"/>
      <c r="AW544" s="115"/>
      <c r="AX544" s="115"/>
      <c r="AY544" s="115"/>
      <c r="AZ544" s="995"/>
      <c r="BA544" s="115"/>
      <c r="BB544" s="115"/>
      <c r="BC544" s="115"/>
      <c r="BD544" s="115"/>
      <c r="BE544" s="995"/>
      <c r="BF544" s="115"/>
      <c r="BG544" s="115"/>
      <c r="BH544" s="641"/>
      <c r="BI544" s="115"/>
      <c r="BJ544" s="995"/>
      <c r="BK544" s="115"/>
      <c r="BL544" s="115"/>
      <c r="BM544" s="115"/>
      <c r="BN544" s="115"/>
      <c r="BO544" s="995"/>
      <c r="BP544" s="995"/>
      <c r="BQ544" s="995"/>
      <c r="BR544" s="995"/>
      <c r="BS544" s="305"/>
    </row>
    <row r="545" spans="1:71" s="51" customFormat="1" ht="15" hidden="1" outlineLevel="2">
      <c r="A545" s="109" t="s">
        <v>565</v>
      </c>
      <c r="B545" s="391"/>
      <c r="C545" s="1000"/>
      <c r="D545" s="1000"/>
      <c r="E545" s="1000"/>
      <c r="F545" s="1000"/>
      <c r="G545" s="1000"/>
      <c r="H545" s="128"/>
      <c r="I545" s="128"/>
      <c r="J545" s="128"/>
      <c r="K545" s="128"/>
      <c r="L545" s="1000"/>
      <c r="M545" s="128"/>
      <c r="N545" s="128"/>
      <c r="O545" s="128"/>
      <c r="P545" s="128"/>
      <c r="Q545" s="999">
        <f t="shared" si="1843" ref="Q545:AL545">Q538+SUM(Q539:Q544)</f>
        <v>337</v>
      </c>
      <c r="R545" s="57">
        <f t="shared" si="1843"/>
        <v>81</v>
      </c>
      <c r="S545" s="57">
        <f t="shared" si="1843"/>
        <v>88</v>
      </c>
      <c r="T545" s="57">
        <f t="shared" si="1843"/>
        <v>61</v>
      </c>
      <c r="U545" s="57">
        <f t="shared" si="1843"/>
        <v>80</v>
      </c>
      <c r="V545" s="999">
        <f t="shared" si="1843"/>
        <v>310</v>
      </c>
      <c r="W545" s="57">
        <f t="shared" si="1843"/>
        <v>83</v>
      </c>
      <c r="X545" s="57">
        <f t="shared" si="1843"/>
        <v>88</v>
      </c>
      <c r="Y545" s="57">
        <f t="shared" si="1843"/>
        <v>107</v>
      </c>
      <c r="Z545" s="57">
        <f t="shared" si="1843"/>
        <v>75</v>
      </c>
      <c r="AA545" s="999">
        <f t="shared" si="1843"/>
        <v>353</v>
      </c>
      <c r="AB545" s="57">
        <f t="shared" si="1843"/>
        <v>81</v>
      </c>
      <c r="AC545" s="57">
        <f t="shared" si="1843"/>
        <v>92</v>
      </c>
      <c r="AD545" s="57">
        <f t="shared" si="1843"/>
        <v>85</v>
      </c>
      <c r="AE545" s="57">
        <f t="shared" si="1843"/>
        <v>77</v>
      </c>
      <c r="AF545" s="999">
        <f t="shared" si="1843"/>
        <v>335</v>
      </c>
      <c r="AG545" s="57">
        <f t="shared" si="1843"/>
        <v>81</v>
      </c>
      <c r="AH545" s="57">
        <f t="shared" si="1843"/>
        <v>85</v>
      </c>
      <c r="AI545" s="57">
        <f t="shared" si="1843"/>
        <v>47</v>
      </c>
      <c r="AJ545" s="57">
        <f t="shared" si="1843"/>
        <v>87</v>
      </c>
      <c r="AK545" s="999">
        <f t="shared" si="1843"/>
        <v>300</v>
      </c>
      <c r="AL545" s="57">
        <f t="shared" si="1843"/>
        <v>75</v>
      </c>
      <c r="AM545" s="57">
        <f>AM538+SUM(AM539:AM544)</f>
        <v>72</v>
      </c>
      <c r="AN545" s="57">
        <f>AN538+SUM(AN539:AN544)</f>
        <v>-23</v>
      </c>
      <c r="AO545" s="57">
        <f t="shared" si="1844" ref="AO545:AP545">AO538+SUM(AO539:AO544)</f>
        <v>52</v>
      </c>
      <c r="AP545" s="999">
        <f t="shared" si="1844"/>
        <v>176</v>
      </c>
      <c r="AQ545" s="128"/>
      <c r="AR545" s="128"/>
      <c r="AS545" s="128"/>
      <c r="AT545" s="128"/>
      <c r="AU545" s="1000"/>
      <c r="AV545" s="128"/>
      <c r="AW545" s="128"/>
      <c r="AX545" s="128"/>
      <c r="AY545" s="128"/>
      <c r="AZ545" s="1000"/>
      <c r="BA545" s="128"/>
      <c r="BB545" s="128"/>
      <c r="BC545" s="128"/>
      <c r="BD545" s="128"/>
      <c r="BE545" s="1000"/>
      <c r="BF545" s="128"/>
      <c r="BG545" s="128"/>
      <c r="BH545" s="465"/>
      <c r="BI545" s="128"/>
      <c r="BJ545" s="1000"/>
      <c r="BK545" s="128"/>
      <c r="BL545" s="128"/>
      <c r="BM545" s="128"/>
      <c r="BN545" s="128"/>
      <c r="BO545" s="1000"/>
      <c r="BP545" s="1000"/>
      <c r="BQ545" s="1000"/>
      <c r="BR545" s="1000"/>
      <c r="BS545" s="57"/>
    </row>
    <row r="546" spans="1:71" s="300" customFormat="1" ht="15" hidden="1" outlineLevel="2">
      <c r="A546" s="110" t="s">
        <v>453</v>
      </c>
      <c r="B546" s="113"/>
      <c r="C546" s="995"/>
      <c r="D546" s="995"/>
      <c r="E546" s="995"/>
      <c r="F546" s="995"/>
      <c r="G546" s="995"/>
      <c r="H546" s="115"/>
      <c r="I546" s="115"/>
      <c r="J546" s="115"/>
      <c r="K546" s="115"/>
      <c r="L546" s="995"/>
      <c r="M546" s="115"/>
      <c r="N546" s="115"/>
      <c r="O546" s="115"/>
      <c r="P546" s="115"/>
      <c r="Q546" s="990">
        <v>-108</v>
      </c>
      <c r="R546" s="900">
        <v>-24</v>
      </c>
      <c r="S546" s="900">
        <v>-27</v>
      </c>
      <c r="T546" s="900">
        <v>-18</v>
      </c>
      <c r="U546" s="58">
        <f>V546-SUM(R546,S546,T546)</f>
        <v>-22</v>
      </c>
      <c r="V546" s="990">
        <v>-91</v>
      </c>
      <c r="W546" s="900">
        <v>-26</v>
      </c>
      <c r="X546" s="900">
        <v>-28</v>
      </c>
      <c r="Y546" s="900">
        <v>-34</v>
      </c>
      <c r="Z546" s="58">
        <f>AA546-SUM(W546,X546,Y546)</f>
        <v>312</v>
      </c>
      <c r="AA546" s="990">
        <v>224</v>
      </c>
      <c r="AB546" s="900">
        <v>-14</v>
      </c>
      <c r="AC546" s="900">
        <v>-17</v>
      </c>
      <c r="AD546" s="900">
        <v>-30</v>
      </c>
      <c r="AE546" s="58">
        <f>AF546-SUM(AB546,AC546,AD546)</f>
        <v>-14</v>
      </c>
      <c r="AF546" s="990">
        <v>-75</v>
      </c>
      <c r="AG546" s="900">
        <v>-14</v>
      </c>
      <c r="AH546" s="900">
        <v>-18</v>
      </c>
      <c r="AI546" s="900">
        <v>-7</v>
      </c>
      <c r="AJ546" s="58">
        <f>AK546-SUM(AG546,AH546,AI546)</f>
        <v>-14</v>
      </c>
      <c r="AK546" s="990">
        <v>-53</v>
      </c>
      <c r="AL546" s="900">
        <v>-11</v>
      </c>
      <c r="AM546" s="900">
        <v>-8</v>
      </c>
      <c r="AN546" s="900">
        <v>10</v>
      </c>
      <c r="AO546" s="58">
        <f>AP546-SUM(AL546,AM546,AN546)</f>
        <v>-8</v>
      </c>
      <c r="AP546" s="990">
        <v>-17</v>
      </c>
      <c r="AQ546" s="115"/>
      <c r="AR546" s="115"/>
      <c r="AS546" s="115"/>
      <c r="AT546" s="115"/>
      <c r="AU546" s="995"/>
      <c r="AV546" s="115"/>
      <c r="AW546" s="115"/>
      <c r="AX546" s="115"/>
      <c r="AY546" s="115"/>
      <c r="AZ546" s="995"/>
      <c r="BA546" s="115"/>
      <c r="BB546" s="115"/>
      <c r="BC546" s="115"/>
      <c r="BD546" s="115"/>
      <c r="BE546" s="995"/>
      <c r="BF546" s="115"/>
      <c r="BG546" s="115"/>
      <c r="BH546" s="641"/>
      <c r="BI546" s="115"/>
      <c r="BJ546" s="995"/>
      <c r="BK546" s="115"/>
      <c r="BL546" s="115"/>
      <c r="BM546" s="115"/>
      <c r="BN546" s="115"/>
      <c r="BO546" s="995"/>
      <c r="BP546" s="995"/>
      <c r="BQ546" s="995"/>
      <c r="BR546" s="995"/>
      <c r="BS546" s="305"/>
    </row>
    <row r="547" spans="1:71" s="51" customFormat="1" ht="15" hidden="1" outlineLevel="2">
      <c r="A547" s="109" t="s">
        <v>454</v>
      </c>
      <c r="B547" s="391"/>
      <c r="C547" s="1000"/>
      <c r="D547" s="1000"/>
      <c r="E547" s="1000"/>
      <c r="F547" s="1000"/>
      <c r="G547" s="1000"/>
      <c r="H547" s="128"/>
      <c r="I547" s="128"/>
      <c r="J547" s="128"/>
      <c r="K547" s="128"/>
      <c r="L547" s="1000"/>
      <c r="M547" s="128"/>
      <c r="N547" s="128"/>
      <c r="O547" s="128"/>
      <c r="P547" s="128"/>
      <c r="Q547" s="999">
        <f t="shared" si="1845" ref="Q547:AK547">SUM(Q545:Q546)</f>
        <v>229</v>
      </c>
      <c r="R547" s="57">
        <f t="shared" si="1845"/>
        <v>57</v>
      </c>
      <c r="S547" s="57">
        <f t="shared" si="1845"/>
        <v>61</v>
      </c>
      <c r="T547" s="57">
        <f t="shared" si="1845"/>
        <v>43</v>
      </c>
      <c r="U547" s="57">
        <f t="shared" si="1845"/>
        <v>58</v>
      </c>
      <c r="V547" s="999">
        <f t="shared" si="1845"/>
        <v>219</v>
      </c>
      <c r="W547" s="57">
        <f t="shared" si="1845"/>
        <v>57</v>
      </c>
      <c r="X547" s="57">
        <f t="shared" si="1845"/>
        <v>60</v>
      </c>
      <c r="Y547" s="57">
        <f t="shared" si="1845"/>
        <v>73</v>
      </c>
      <c r="Z547" s="57">
        <f t="shared" si="1845"/>
        <v>387</v>
      </c>
      <c r="AA547" s="999">
        <f t="shared" si="1845"/>
        <v>577</v>
      </c>
      <c r="AB547" s="57">
        <f t="shared" si="1845"/>
        <v>67</v>
      </c>
      <c r="AC547" s="57">
        <f t="shared" si="1845"/>
        <v>75</v>
      </c>
      <c r="AD547" s="57">
        <f t="shared" si="1845"/>
        <v>55</v>
      </c>
      <c r="AE547" s="57">
        <f t="shared" si="1845"/>
        <v>63</v>
      </c>
      <c r="AF547" s="999">
        <f t="shared" si="1845"/>
        <v>260</v>
      </c>
      <c r="AG547" s="57">
        <f t="shared" si="1845"/>
        <v>67</v>
      </c>
      <c r="AH547" s="57">
        <f t="shared" si="1845"/>
        <v>67</v>
      </c>
      <c r="AI547" s="57">
        <f t="shared" si="1845"/>
        <v>40</v>
      </c>
      <c r="AJ547" s="57">
        <f t="shared" si="1845"/>
        <v>73</v>
      </c>
      <c r="AK547" s="999">
        <f t="shared" si="1845"/>
        <v>247</v>
      </c>
      <c r="AL547" s="57">
        <f>SUM(AL545:AL546)</f>
        <v>64</v>
      </c>
      <c r="AM547" s="57">
        <f>SUM(AM545:AM546)</f>
        <v>64</v>
      </c>
      <c r="AN547" s="57">
        <f>SUM(AN545:AN546)</f>
        <v>-13</v>
      </c>
      <c r="AO547" s="57">
        <f t="shared" si="1846" ref="AO547:AP547">SUM(AO545:AO546)</f>
        <v>44</v>
      </c>
      <c r="AP547" s="999">
        <f t="shared" si="1846"/>
        <v>159</v>
      </c>
      <c r="AQ547" s="128"/>
      <c r="AR547" s="128"/>
      <c r="AS547" s="128"/>
      <c r="AT547" s="128"/>
      <c r="AU547" s="1000"/>
      <c r="AV547" s="128"/>
      <c r="AW547" s="128"/>
      <c r="AX547" s="128"/>
      <c r="AY547" s="128"/>
      <c r="AZ547" s="1000"/>
      <c r="BA547" s="128"/>
      <c r="BB547" s="128"/>
      <c r="BC547" s="128"/>
      <c r="BD547" s="128"/>
      <c r="BE547" s="1000"/>
      <c r="BF547" s="128"/>
      <c r="BG547" s="128"/>
      <c r="BH547" s="465"/>
      <c r="BI547" s="128"/>
      <c r="BJ547" s="1000"/>
      <c r="BK547" s="128"/>
      <c r="BL547" s="128"/>
      <c r="BM547" s="128"/>
      <c r="BN547" s="128"/>
      <c r="BO547" s="1000"/>
      <c r="BP547" s="1000"/>
      <c r="BQ547" s="1000"/>
      <c r="BR547" s="1000"/>
      <c r="BS547" s="57"/>
    </row>
    <row r="548" spans="1:71" s="51" customFormat="1" ht="15" hidden="1" outlineLevel="2">
      <c r="A548" s="480"/>
      <c r="B548" s="391"/>
      <c r="C548" s="1000"/>
      <c r="D548" s="1000"/>
      <c r="E548" s="1000"/>
      <c r="F548" s="1000"/>
      <c r="G548" s="1000"/>
      <c r="H548" s="128"/>
      <c r="I548" s="128"/>
      <c r="J548" s="128"/>
      <c r="K548" s="128"/>
      <c r="L548" s="1000"/>
      <c r="M548" s="128"/>
      <c r="N548" s="128"/>
      <c r="O548" s="128"/>
      <c r="P548" s="128"/>
      <c r="Q548" s="1000"/>
      <c r="R548" s="128"/>
      <c r="S548" s="128"/>
      <c r="T548" s="128"/>
      <c r="U548" s="128"/>
      <c r="V548" s="1000"/>
      <c r="W548" s="128"/>
      <c r="X548" s="128"/>
      <c r="Y548" s="128"/>
      <c r="Z548" s="128"/>
      <c r="AA548" s="1000"/>
      <c r="AB548" s="128"/>
      <c r="AC548" s="128"/>
      <c r="AD548" s="128"/>
      <c r="AE548" s="128"/>
      <c r="AF548" s="1000"/>
      <c r="AG548" s="128"/>
      <c r="AH548" s="128"/>
      <c r="AI548" s="128"/>
      <c r="AJ548" s="128"/>
      <c r="AK548" s="1000"/>
      <c r="AL548" s="128"/>
      <c r="AM548" s="128"/>
      <c r="AN548" s="128"/>
      <c r="AO548" s="128"/>
      <c r="AP548" s="1000"/>
      <c r="AQ548" s="128"/>
      <c r="AR548" s="128"/>
      <c r="AS548" s="128"/>
      <c r="AT548" s="128"/>
      <c r="AU548" s="1000"/>
      <c r="AV548" s="128"/>
      <c r="AW548" s="128"/>
      <c r="AX548" s="128"/>
      <c r="AY548" s="128"/>
      <c r="AZ548" s="1000"/>
      <c r="BA548" s="128"/>
      <c r="BB548" s="128"/>
      <c r="BC548" s="128"/>
      <c r="BD548" s="128"/>
      <c r="BE548" s="1000"/>
      <c r="BF548" s="128"/>
      <c r="BG548" s="128"/>
      <c r="BH548" s="465"/>
      <c r="BI548" s="128"/>
      <c r="BJ548" s="1000"/>
      <c r="BK548" s="128"/>
      <c r="BL548" s="128"/>
      <c r="BM548" s="128"/>
      <c r="BN548" s="128"/>
      <c r="BO548" s="1000"/>
      <c r="BP548" s="1000"/>
      <c r="BQ548" s="1000"/>
      <c r="BR548" s="1000"/>
      <c r="BS548" s="57"/>
    </row>
    <row r="549" spans="1:71" s="29" customFormat="1" ht="15" hidden="1" outlineLevel="2">
      <c r="A549" s="42" t="s">
        <v>597</v>
      </c>
      <c r="B549" s="232"/>
      <c r="C549" s="1025"/>
      <c r="D549" s="1025"/>
      <c r="E549" s="1025"/>
      <c r="F549" s="1025"/>
      <c r="G549" s="1025"/>
      <c r="H549" s="650"/>
      <c r="I549" s="650"/>
      <c r="J549" s="650"/>
      <c r="K549" s="650"/>
      <c r="L549" s="1025"/>
      <c r="M549" s="650"/>
      <c r="N549" s="650"/>
      <c r="O549" s="650"/>
      <c r="P549" s="650"/>
      <c r="Q549" s="1025"/>
      <c r="R549" s="650"/>
      <c r="S549" s="650"/>
      <c r="T549" s="650"/>
      <c r="U549" s="650"/>
      <c r="V549" s="1025"/>
      <c r="W549" s="650"/>
      <c r="X549" s="650"/>
      <c r="Y549" s="650"/>
      <c r="Z549" s="650"/>
      <c r="AA549" s="1025"/>
      <c r="AB549" s="649">
        <f t="shared" si="1847" ref="AB549:AK549">AB535/W535-1</f>
        <v>-0.03703703703703709</v>
      </c>
      <c r="AC549" s="649">
        <f t="shared" si="1847"/>
        <v>0</v>
      </c>
      <c r="AD549" s="649">
        <f t="shared" si="1847"/>
        <v>0.15384615384615374</v>
      </c>
      <c r="AE549" s="649">
        <f t="shared" si="1847"/>
        <v>0.060606060606060552</v>
      </c>
      <c r="AF549" s="1033">
        <f t="shared" si="1847"/>
        <v>0.043859649122806932</v>
      </c>
      <c r="AG549" s="649">
        <f t="shared" si="1847"/>
        <v>0.038461538461538547</v>
      </c>
      <c r="AH549" s="649">
        <f t="shared" si="1847"/>
        <v>0.1785714285714286</v>
      </c>
      <c r="AI549" s="649">
        <f t="shared" si="1847"/>
        <v>0.033333333333333437</v>
      </c>
      <c r="AJ549" s="649">
        <f t="shared" si="1847"/>
        <v>-0.028571428571428581</v>
      </c>
      <c r="AK549" s="1033">
        <f t="shared" si="1847"/>
        <v>0.050420168067226934</v>
      </c>
      <c r="AL549" s="649">
        <f>AL535/AG535-1</f>
        <v>0.18518518518518512</v>
      </c>
      <c r="AM549" s="649">
        <f>AM535/AH535-1</f>
        <v>-0.27272727272727271</v>
      </c>
      <c r="AN549" s="649">
        <f>AN535/AI535-1</f>
        <v>-0.096774193548387122</v>
      </c>
      <c r="AO549" s="649">
        <f t="shared" si="1848" ref="AO549:AP549">AO535/AJ535-1</f>
        <v>0.088235294117646967</v>
      </c>
      <c r="AP549" s="1033">
        <f t="shared" si="1848"/>
        <v>-0.032000000000000028</v>
      </c>
      <c r="AQ549" s="650"/>
      <c r="AR549" s="650"/>
      <c r="AS549" s="650"/>
      <c r="AT549" s="650"/>
      <c r="AU549" s="1025"/>
      <c r="AV549" s="650"/>
      <c r="AW549" s="650"/>
      <c r="AX549" s="650"/>
      <c r="AY549" s="650"/>
      <c r="AZ549" s="1025"/>
      <c r="BA549" s="650"/>
      <c r="BB549" s="650"/>
      <c r="BC549" s="650"/>
      <c r="BD549" s="650"/>
      <c r="BE549" s="1025"/>
      <c r="BF549" s="650"/>
      <c r="BG549" s="650"/>
      <c r="BH549" s="752"/>
      <c r="BI549" s="650"/>
      <c r="BJ549" s="1025"/>
      <c r="BK549" s="650"/>
      <c r="BL549" s="650"/>
      <c r="BM549" s="650"/>
      <c r="BN549" s="650"/>
      <c r="BO549" s="1025"/>
      <c r="BP549" s="1025"/>
      <c r="BQ549" s="1025"/>
      <c r="BR549" s="1025"/>
      <c r="BS549" s="649"/>
    </row>
    <row r="550" spans="1:71" s="51" customFormat="1" ht="15" hidden="1" outlineLevel="2">
      <c r="A550" s="480"/>
      <c r="B550" s="391"/>
      <c r="C550" s="1000"/>
      <c r="D550" s="1000"/>
      <c r="E550" s="1000"/>
      <c r="F550" s="1000"/>
      <c r="G550" s="1000"/>
      <c r="H550" s="128"/>
      <c r="I550" s="128"/>
      <c r="J550" s="128"/>
      <c r="K550" s="128"/>
      <c r="L550" s="1000"/>
      <c r="M550" s="128"/>
      <c r="N550" s="128"/>
      <c r="O550" s="128"/>
      <c r="P550" s="128"/>
      <c r="Q550" s="1000"/>
      <c r="R550" s="128"/>
      <c r="S550" s="128"/>
      <c r="T550" s="128"/>
      <c r="U550" s="128"/>
      <c r="V550" s="1000"/>
      <c r="W550" s="128"/>
      <c r="X550" s="128"/>
      <c r="Y550" s="128"/>
      <c r="Z550" s="128"/>
      <c r="AA550" s="1000"/>
      <c r="AB550" s="128"/>
      <c r="AC550" s="128"/>
      <c r="AD550" s="128"/>
      <c r="AE550" s="128"/>
      <c r="AF550" s="1000"/>
      <c r="AG550" s="128"/>
      <c r="AH550" s="128"/>
      <c r="AI550" s="128"/>
      <c r="AJ550" s="128"/>
      <c r="AK550" s="1000"/>
      <c r="AL550" s="128"/>
      <c r="AM550" s="128"/>
      <c r="AN550" s="128"/>
      <c r="AO550" s="128"/>
      <c r="AP550" s="1000"/>
      <c r="AQ550" s="128"/>
      <c r="AR550" s="128"/>
      <c r="AS550" s="128"/>
      <c r="AT550" s="128"/>
      <c r="AU550" s="1000"/>
      <c r="AV550" s="128"/>
      <c r="AW550" s="128"/>
      <c r="AX550" s="128"/>
      <c r="AY550" s="128"/>
      <c r="AZ550" s="1000"/>
      <c r="BA550" s="128"/>
      <c r="BB550" s="128"/>
      <c r="BC550" s="128"/>
      <c r="BD550" s="128"/>
      <c r="BE550" s="1000"/>
      <c r="BF550" s="128"/>
      <c r="BG550" s="128"/>
      <c r="BH550" s="465"/>
      <c r="BI550" s="128"/>
      <c r="BJ550" s="1000"/>
      <c r="BK550" s="128"/>
      <c r="BL550" s="128"/>
      <c r="BM550" s="128"/>
      <c r="BN550" s="128"/>
      <c r="BO550" s="1000"/>
      <c r="BP550" s="1000"/>
      <c r="BQ550" s="1000"/>
      <c r="BR550" s="1000"/>
      <c r="BS550" s="57"/>
    </row>
    <row r="551" spans="1:71" s="25" customFormat="1" ht="15" hidden="1" outlineLevel="2">
      <c r="A551" s="43" t="s">
        <v>595</v>
      </c>
      <c r="B551" s="496"/>
      <c r="C551" s="1016"/>
      <c r="D551" s="1016"/>
      <c r="E551" s="1016"/>
      <c r="F551" s="1016"/>
      <c r="G551" s="1016"/>
      <c r="H551" s="393"/>
      <c r="I551" s="393"/>
      <c r="J551" s="393"/>
      <c r="K551" s="393"/>
      <c r="L551" s="1016"/>
      <c r="M551" s="393"/>
      <c r="N551" s="393"/>
      <c r="O551" s="393"/>
      <c r="P551" s="393"/>
      <c r="Q551" s="1015">
        <f t="shared" si="1849" ref="Q551:AK551">-Q539/Q534</f>
        <v>0.61242845461978745</v>
      </c>
      <c r="R551" s="158">
        <f t="shared" si="1849"/>
        <v>0.57692307692307687</v>
      </c>
      <c r="S551" s="158">
        <f t="shared" si="1849"/>
        <v>0.57096774193548383</v>
      </c>
      <c r="T551" s="158">
        <f t="shared" si="1849"/>
        <v>0.63548387096774195</v>
      </c>
      <c r="U551" s="158">
        <f t="shared" si="1849"/>
        <v>0.5911949685534591</v>
      </c>
      <c r="V551" s="1015">
        <f t="shared" si="1849"/>
        <v>0.59360000000000002</v>
      </c>
      <c r="W551" s="158">
        <f t="shared" si="1849"/>
        <v>0.60747663551401865</v>
      </c>
      <c r="X551" s="158">
        <f t="shared" si="1849"/>
        <v>0.58620689655172409</v>
      </c>
      <c r="Y551" s="158">
        <f t="shared" si="1849"/>
        <v>0.54746835443037978</v>
      </c>
      <c r="Z551" s="158">
        <f t="shared" si="1849"/>
        <v>0.64814814814814814</v>
      </c>
      <c r="AA551" s="1015">
        <f t="shared" si="1849"/>
        <v>0.59765625</v>
      </c>
      <c r="AB551" s="158">
        <f t="shared" si="1849"/>
        <v>0.62691131498470953</v>
      </c>
      <c r="AC551" s="158">
        <f t="shared" si="1849"/>
        <v>0.59815950920245398</v>
      </c>
      <c r="AD551" s="158">
        <f t="shared" si="1849"/>
        <v>0.59937888198757761</v>
      </c>
      <c r="AE551" s="158">
        <f t="shared" si="1849"/>
        <v>0.63529411764705879</v>
      </c>
      <c r="AF551" s="1015">
        <f t="shared" si="1849"/>
        <v>0.61520912547528517</v>
      </c>
      <c r="AG551" s="158">
        <f t="shared" si="1849"/>
        <v>0.63501483679525228</v>
      </c>
      <c r="AH551" s="158">
        <f t="shared" si="1849"/>
        <v>0.64864864864864868</v>
      </c>
      <c r="AI551" s="158">
        <f t="shared" si="1849"/>
        <v>0.61027190332326287</v>
      </c>
      <c r="AJ551" s="158">
        <f t="shared" si="1849"/>
        <v>0.65204678362573099</v>
      </c>
      <c r="AK551" s="1015">
        <f t="shared" si="1849"/>
        <v>0.63663440059568133</v>
      </c>
      <c r="AL551" s="158">
        <f>-AL539/AL534</f>
        <v>0.63663663663663661</v>
      </c>
      <c r="AM551" s="158">
        <f>-AM539/AM534</f>
        <v>0.70206489675516226</v>
      </c>
      <c r="AN551" s="158">
        <f>-AN539/AN534</f>
        <v>0.75151515151515147</v>
      </c>
      <c r="AO551" s="158">
        <f t="shared" si="1850" ref="AO551:AP551">-AO539/AO534</f>
        <v>0.78698224852071008</v>
      </c>
      <c r="AP551" s="1015">
        <f t="shared" si="1850"/>
        <v>0.71940298507462686</v>
      </c>
      <c r="AQ551" s="393"/>
      <c r="AR551" s="393"/>
      <c r="AS551" s="393"/>
      <c r="AT551" s="393"/>
      <c r="AU551" s="1016"/>
      <c r="AV551" s="393"/>
      <c r="AW551" s="393"/>
      <c r="AX551" s="393"/>
      <c r="AY551" s="393"/>
      <c r="AZ551" s="1016"/>
      <c r="BA551" s="393"/>
      <c r="BB551" s="393"/>
      <c r="BC551" s="393"/>
      <c r="BD551" s="393"/>
      <c r="BE551" s="1016"/>
      <c r="BF551" s="393"/>
      <c r="BG551" s="393"/>
      <c r="BH551" s="751"/>
      <c r="BI551" s="393"/>
      <c r="BJ551" s="1016"/>
      <c r="BK551" s="393"/>
      <c r="BL551" s="393"/>
      <c r="BM551" s="393"/>
      <c r="BN551" s="393"/>
      <c r="BO551" s="1016"/>
      <c r="BP551" s="1016"/>
      <c r="BQ551" s="1016"/>
      <c r="BR551" s="1016"/>
      <c r="BS551" s="158"/>
    </row>
    <row r="552" spans="1:71" s="25" customFormat="1" ht="15" hidden="1" outlineLevel="2">
      <c r="A552" s="43" t="s">
        <v>596</v>
      </c>
      <c r="B552" s="496"/>
      <c r="C552" s="1016"/>
      <c r="D552" s="1016"/>
      <c r="E552" s="1016"/>
      <c r="F552" s="1016"/>
      <c r="G552" s="1016"/>
      <c r="H552" s="393"/>
      <c r="I552" s="393"/>
      <c r="J552" s="393"/>
      <c r="K552" s="393"/>
      <c r="L552" s="1016"/>
      <c r="M552" s="393"/>
      <c r="N552" s="393"/>
      <c r="O552" s="393"/>
      <c r="P552" s="393"/>
      <c r="Q552" s="1015">
        <f t="shared" si="1851" ref="Q552:AK552">-Q542/Q534</f>
        <v>0.1733442354865086</v>
      </c>
      <c r="R552" s="158">
        <f t="shared" si="1851"/>
        <v>0.17948717948717949</v>
      </c>
      <c r="S552" s="158">
        <f t="shared" si="1851"/>
        <v>0.17419354838709677</v>
      </c>
      <c r="T552" s="158">
        <f t="shared" si="1851"/>
        <v>0.19032258064516128</v>
      </c>
      <c r="U552" s="158">
        <f t="shared" si="1851"/>
        <v>0.1761006289308176</v>
      </c>
      <c r="V552" s="1015">
        <f t="shared" si="1851"/>
        <v>0.18</v>
      </c>
      <c r="W552" s="158">
        <f t="shared" si="1851"/>
        <v>0.26791277258566976</v>
      </c>
      <c r="X552" s="158">
        <f t="shared" si="1851"/>
        <v>0.26959247648902823</v>
      </c>
      <c r="Y552" s="158">
        <f t="shared" si="1851"/>
        <v>0.25949367088607594</v>
      </c>
      <c r="Z552" s="158">
        <f t="shared" si="1851"/>
        <v>0.30246913580246915</v>
      </c>
      <c r="AA552" s="1015">
        <f t="shared" si="1851"/>
        <v>0.27500000000000002</v>
      </c>
      <c r="AB552" s="158">
        <f t="shared" si="1851"/>
        <v>0.25382262996941896</v>
      </c>
      <c r="AC552" s="158">
        <f t="shared" si="1851"/>
        <v>0.26380368098159507</v>
      </c>
      <c r="AD552" s="158">
        <f t="shared" si="1851"/>
        <v>0.27329192546583853</v>
      </c>
      <c r="AE552" s="158">
        <f t="shared" si="1851"/>
        <v>0.30588235294117649</v>
      </c>
      <c r="AF552" s="1015">
        <f t="shared" si="1851"/>
        <v>0.27452471482889734</v>
      </c>
      <c r="AG552" s="158">
        <f t="shared" si="1851"/>
        <v>0.27002967359050445</v>
      </c>
      <c r="AH552" s="158">
        <f t="shared" si="1851"/>
        <v>0.27327327327327328</v>
      </c>
      <c r="AI552" s="158">
        <f t="shared" si="1851"/>
        <v>0.23262839879154079</v>
      </c>
      <c r="AJ552" s="158">
        <f t="shared" si="1851"/>
        <v>0.27777777777777779</v>
      </c>
      <c r="AK552" s="1015">
        <f t="shared" si="1851"/>
        <v>0.26358897989575575</v>
      </c>
      <c r="AL552" s="158">
        <f>-AL542/AL534</f>
        <v>0.25225225225225223</v>
      </c>
      <c r="AM552" s="158">
        <f>-AM542/AM534</f>
        <v>0.22123893805309736</v>
      </c>
      <c r="AN552" s="158">
        <f>-AN542/AN534</f>
        <v>0.24545454545454545</v>
      </c>
      <c r="AO552" s="158">
        <f t="shared" si="1852" ref="AO552:AP552">-AO542/AO534</f>
        <v>0.26331360946745563</v>
      </c>
      <c r="AP552" s="1015">
        <f t="shared" si="1852"/>
        <v>0.2455223880597015</v>
      </c>
      <c r="AQ552" s="393"/>
      <c r="AR552" s="393"/>
      <c r="AS552" s="393"/>
      <c r="AT552" s="393"/>
      <c r="AU552" s="1016"/>
      <c r="AV552" s="393"/>
      <c r="AW552" s="393"/>
      <c r="AX552" s="393"/>
      <c r="AY552" s="393"/>
      <c r="AZ552" s="1016"/>
      <c r="BA552" s="393"/>
      <c r="BB552" s="393"/>
      <c r="BC552" s="393"/>
      <c r="BD552" s="393"/>
      <c r="BE552" s="1016"/>
      <c r="BF552" s="393"/>
      <c r="BG552" s="393"/>
      <c r="BH552" s="751"/>
      <c r="BI552" s="393"/>
      <c r="BJ552" s="1016"/>
      <c r="BK552" s="393"/>
      <c r="BL552" s="393"/>
      <c r="BM552" s="393"/>
      <c r="BN552" s="393"/>
      <c r="BO552" s="1016"/>
      <c r="BP552" s="1016"/>
      <c r="BQ552" s="1016"/>
      <c r="BR552" s="1016"/>
      <c r="BS552" s="158"/>
    </row>
    <row r="553" spans="1:71" s="51" customFormat="1" ht="15" hidden="1" outlineLevel="2">
      <c r="A553" s="480"/>
      <c r="B553" s="391"/>
      <c r="C553" s="1000"/>
      <c r="D553" s="1000"/>
      <c r="E553" s="1000"/>
      <c r="F553" s="1000"/>
      <c r="G553" s="1000"/>
      <c r="H553" s="128"/>
      <c r="I553" s="128"/>
      <c r="J553" s="128"/>
      <c r="K553" s="128"/>
      <c r="L553" s="1000"/>
      <c r="M553" s="128"/>
      <c r="N553" s="128"/>
      <c r="O553" s="128"/>
      <c r="P553" s="128"/>
      <c r="Q553" s="1000"/>
      <c r="R553" s="128"/>
      <c r="S553" s="128"/>
      <c r="T553" s="128"/>
      <c r="U553" s="128"/>
      <c r="V553" s="1000"/>
      <c r="W553" s="128"/>
      <c r="X553" s="128"/>
      <c r="Y553" s="128"/>
      <c r="Z553" s="128"/>
      <c r="AA553" s="1000"/>
      <c r="AB553" s="128"/>
      <c r="AC553" s="128"/>
      <c r="AD553" s="128"/>
      <c r="AE553" s="128"/>
      <c r="AF553" s="1000"/>
      <c r="AG553" s="128"/>
      <c r="AH553" s="128"/>
      <c r="AI553" s="128"/>
      <c r="AJ553" s="128"/>
      <c r="AK553" s="1000"/>
      <c r="AL553" s="128"/>
      <c r="AM553" s="128"/>
      <c r="AN553" s="128"/>
      <c r="AO553" s="128"/>
      <c r="AP553" s="1000"/>
      <c r="AQ553" s="128"/>
      <c r="AR553" s="128"/>
      <c r="AS553" s="128"/>
      <c r="AT553" s="128"/>
      <c r="AU553" s="1000"/>
      <c r="AV553" s="128"/>
      <c r="AW553" s="128"/>
      <c r="AX553" s="128"/>
      <c r="AY553" s="128"/>
      <c r="AZ553" s="1000"/>
      <c r="BA553" s="128"/>
      <c r="BB553" s="128"/>
      <c r="BC553" s="128"/>
      <c r="BD553" s="128"/>
      <c r="BE553" s="1000"/>
      <c r="BF553" s="128"/>
      <c r="BG553" s="128"/>
      <c r="BH553" s="465"/>
      <c r="BI553" s="128"/>
      <c r="BJ553" s="1000"/>
      <c r="BK553" s="128"/>
      <c r="BL553" s="128"/>
      <c r="BM553" s="128"/>
      <c r="BN553" s="128"/>
      <c r="BO553" s="1000"/>
      <c r="BP553" s="1000"/>
      <c r="BQ553" s="1000"/>
      <c r="BR553" s="1000"/>
      <c r="BS553" s="57"/>
    </row>
    <row r="554" spans="1:71" s="17" customFormat="1" ht="15" hidden="1" outlineLevel="2">
      <c r="A554" s="818" t="s">
        <v>581</v>
      </c>
      <c r="B554" s="818"/>
      <c r="C554" s="837"/>
      <c r="D554" s="837"/>
      <c r="E554" s="837"/>
      <c r="F554" s="837"/>
      <c r="G554" s="837"/>
      <c r="H554" s="837"/>
      <c r="I554" s="837"/>
      <c r="J554" s="837"/>
      <c r="K554" s="837"/>
      <c r="L554" s="837"/>
      <c r="M554" s="837"/>
      <c r="N554" s="837"/>
      <c r="O554" s="837"/>
      <c r="P554" s="837"/>
      <c r="Q554" s="837"/>
      <c r="R554" s="837"/>
      <c r="S554" s="837"/>
      <c r="T554" s="837"/>
      <c r="U554" s="837"/>
      <c r="V554" s="837"/>
      <c r="W554" s="837"/>
      <c r="X554" s="837"/>
      <c r="Y554" s="837"/>
      <c r="Z554" s="837"/>
      <c r="AA554" s="837"/>
      <c r="AB554" s="837"/>
      <c r="AC554" s="837"/>
      <c r="AD554" s="837"/>
      <c r="AE554" s="837"/>
      <c r="AF554" s="837"/>
      <c r="AG554" s="837"/>
      <c r="AH554" s="837"/>
      <c r="AI554" s="837"/>
      <c r="AJ554" s="837"/>
      <c r="AK554" s="837"/>
      <c r="AL554" s="837"/>
      <c r="AM554" s="837"/>
      <c r="AN554" s="837"/>
      <c r="AO554" s="837"/>
      <c r="AP554" s="837"/>
      <c r="AQ554" s="837"/>
      <c r="AR554" s="837"/>
      <c r="AS554" s="837"/>
      <c r="AT554" s="837"/>
      <c r="AU554" s="837"/>
      <c r="AV554" s="837"/>
      <c r="AW554" s="837"/>
      <c r="AX554" s="837"/>
      <c r="AY554" s="837"/>
      <c r="AZ554" s="837"/>
      <c r="BA554" s="837"/>
      <c r="BB554" s="837"/>
      <c r="BC554" s="837"/>
      <c r="BD554" s="837"/>
      <c r="BE554" s="837"/>
      <c r="BF554" s="837"/>
      <c r="BG554" s="837"/>
      <c r="BH554" s="838"/>
      <c r="BI554" s="837"/>
      <c r="BJ554" s="837"/>
      <c r="BK554" s="837"/>
      <c r="BL554" s="837"/>
      <c r="BM554" s="837"/>
      <c r="BN554" s="837"/>
      <c r="BO554" s="837"/>
      <c r="BP554" s="837"/>
      <c r="BQ554" s="837"/>
      <c r="BR554" s="837"/>
      <c r="BS554" s="457"/>
    </row>
    <row r="555" spans="1:71" s="51" customFormat="1" ht="15" hidden="1" outlineLevel="2">
      <c r="A555" s="109" t="s">
        <v>575</v>
      </c>
      <c r="B555" s="391"/>
      <c r="C555" s="1000"/>
      <c r="D555" s="1000"/>
      <c r="E555" s="1000"/>
      <c r="F555" s="1000"/>
      <c r="G555" s="1000"/>
      <c r="H555" s="128"/>
      <c r="I555" s="128"/>
      <c r="J555" s="128"/>
      <c r="K555" s="128"/>
      <c r="L555" s="1000"/>
      <c r="M555" s="128"/>
      <c r="N555" s="128"/>
      <c r="O555" s="128"/>
      <c r="P555" s="128"/>
      <c r="Q555" s="1031">
        <v>7254</v>
      </c>
      <c r="R555" s="57">
        <f t="shared" si="1853" ref="R555:T555">Q557</f>
        <v>7359</v>
      </c>
      <c r="S555" s="57">
        <f t="shared" si="1853"/>
        <v>7385</v>
      </c>
      <c r="T555" s="57">
        <f t="shared" si="1853"/>
        <v>7410</v>
      </c>
      <c r="U555" s="57">
        <f>T557</f>
        <v>7446</v>
      </c>
      <c r="V555" s="999">
        <f>Q557</f>
        <v>7359</v>
      </c>
      <c r="W555" s="57">
        <f t="shared" si="1854" ref="W555:Y555">V557</f>
        <v>7464</v>
      </c>
      <c r="X555" s="57">
        <f t="shared" si="1854"/>
        <v>7497</v>
      </c>
      <c r="Y555" s="57">
        <f t="shared" si="1854"/>
        <v>7514</v>
      </c>
      <c r="Z555" s="57">
        <f>Y557</f>
        <v>7559</v>
      </c>
      <c r="AA555" s="999">
        <f>V557</f>
        <v>7464</v>
      </c>
      <c r="AB555" s="57">
        <f t="shared" si="1855" ref="AB555:AD555">AA557</f>
        <v>7608</v>
      </c>
      <c r="AC555" s="57">
        <f t="shared" si="1855"/>
        <v>7603</v>
      </c>
      <c r="AD555" s="57">
        <f t="shared" si="1855"/>
        <v>7630</v>
      </c>
      <c r="AE555" s="57">
        <f>AD557</f>
        <v>7650</v>
      </c>
      <c r="AF555" s="999">
        <f>AA557</f>
        <v>7608</v>
      </c>
      <c r="AG555" s="57">
        <f t="shared" si="1856" ref="AG555:AI555">AF557</f>
        <v>7656</v>
      </c>
      <c r="AH555" s="57">
        <f t="shared" si="1856"/>
        <v>7686</v>
      </c>
      <c r="AI555" s="57">
        <f t="shared" si="1856"/>
        <v>7711</v>
      </c>
      <c r="AJ555" s="57">
        <f>AI557</f>
        <v>7733</v>
      </c>
      <c r="AK555" s="999">
        <f>AF557</f>
        <v>7656</v>
      </c>
      <c r="AL555" s="57">
        <f>AK557</f>
        <v>7805</v>
      </c>
      <c r="AM555" s="57">
        <f>AL557</f>
        <v>7754</v>
      </c>
      <c r="AN555" s="57">
        <f>AM557</f>
        <v>7857</v>
      </c>
      <c r="AO555" s="57">
        <f>AN557</f>
        <v>7932</v>
      </c>
      <c r="AP555" s="999">
        <f>AK557</f>
        <v>7805</v>
      </c>
      <c r="AQ555" s="128"/>
      <c r="AR555" s="128"/>
      <c r="AS555" s="128"/>
      <c r="AT555" s="128"/>
      <c r="AU555" s="1000"/>
      <c r="AV555" s="128"/>
      <c r="AW555" s="128"/>
      <c r="AX555" s="128"/>
      <c r="AY555" s="128"/>
      <c r="AZ555" s="1000"/>
      <c r="BA555" s="128"/>
      <c r="BB555" s="128"/>
      <c r="BC555" s="128"/>
      <c r="BD555" s="128"/>
      <c r="BE555" s="1000"/>
      <c r="BF555" s="128"/>
      <c r="BG555" s="128"/>
      <c r="BH555" s="465"/>
      <c r="BI555" s="128"/>
      <c r="BJ555" s="1000"/>
      <c r="BK555" s="128"/>
      <c r="BL555" s="128"/>
      <c r="BM555" s="128"/>
      <c r="BN555" s="128"/>
      <c r="BO555" s="1000"/>
      <c r="BP555" s="1000"/>
      <c r="BQ555" s="1000"/>
      <c r="BR555" s="1000"/>
      <c r="BS555" s="57"/>
    </row>
    <row r="556" spans="1:71" s="300" customFormat="1" ht="15" hidden="1" outlineLevel="2">
      <c r="A556" s="110" t="s">
        <v>576</v>
      </c>
      <c r="B556" s="113"/>
      <c r="C556" s="995"/>
      <c r="D556" s="995"/>
      <c r="E556" s="995"/>
      <c r="F556" s="995"/>
      <c r="G556" s="995"/>
      <c r="H556" s="115"/>
      <c r="I556" s="115"/>
      <c r="J556" s="115"/>
      <c r="K556" s="115"/>
      <c r="L556" s="995"/>
      <c r="M556" s="115"/>
      <c r="N556" s="115"/>
      <c r="O556" s="115"/>
      <c r="P556" s="115"/>
      <c r="Q556" s="998">
        <f t="shared" si="1857" ref="Q556:AK556">Q557-Q555</f>
        <v>105</v>
      </c>
      <c r="R556" s="58">
        <f t="shared" si="1857"/>
        <v>26</v>
      </c>
      <c r="S556" s="58">
        <f t="shared" si="1857"/>
        <v>25</v>
      </c>
      <c r="T556" s="58">
        <f t="shared" si="1857"/>
        <v>36</v>
      </c>
      <c r="U556" s="58">
        <f t="shared" si="1857"/>
        <v>18</v>
      </c>
      <c r="V556" s="998">
        <f t="shared" si="1857"/>
        <v>105</v>
      </c>
      <c r="W556" s="58">
        <f t="shared" si="1857"/>
        <v>33</v>
      </c>
      <c r="X556" s="58">
        <f t="shared" si="1857"/>
        <v>17</v>
      </c>
      <c r="Y556" s="58">
        <f t="shared" si="1857"/>
        <v>45</v>
      </c>
      <c r="Z556" s="58">
        <f t="shared" si="1857"/>
        <v>49</v>
      </c>
      <c r="AA556" s="998">
        <f t="shared" si="1857"/>
        <v>144</v>
      </c>
      <c r="AB556" s="58">
        <f t="shared" si="1857"/>
        <v>-5</v>
      </c>
      <c r="AC556" s="58">
        <f t="shared" si="1857"/>
        <v>27</v>
      </c>
      <c r="AD556" s="58">
        <f t="shared" si="1857"/>
        <v>20</v>
      </c>
      <c r="AE556" s="58">
        <f t="shared" si="1857"/>
        <v>6</v>
      </c>
      <c r="AF556" s="998">
        <f t="shared" si="1857"/>
        <v>48</v>
      </c>
      <c r="AG556" s="58">
        <f t="shared" si="1857"/>
        <v>30</v>
      </c>
      <c r="AH556" s="58">
        <f t="shared" si="1857"/>
        <v>25</v>
      </c>
      <c r="AI556" s="58">
        <f t="shared" si="1857"/>
        <v>22</v>
      </c>
      <c r="AJ556" s="58">
        <f t="shared" si="1857"/>
        <v>72</v>
      </c>
      <c r="AK556" s="998">
        <f t="shared" si="1857"/>
        <v>149</v>
      </c>
      <c r="AL556" s="58">
        <f>AL557-AL555</f>
        <v>-51</v>
      </c>
      <c r="AM556" s="58">
        <f>AM557-AM555</f>
        <v>103</v>
      </c>
      <c r="AN556" s="58">
        <f>AN557-AN555</f>
        <v>75</v>
      </c>
      <c r="AO556" s="58">
        <f t="shared" si="1858" ref="AO556:AP556">AO557-AO555</f>
        <v>81</v>
      </c>
      <c r="AP556" s="998">
        <f t="shared" si="1858"/>
        <v>208</v>
      </c>
      <c r="AQ556" s="115"/>
      <c r="AR556" s="115"/>
      <c r="AS556" s="115"/>
      <c r="AT556" s="115"/>
      <c r="AU556" s="995"/>
      <c r="AV556" s="115"/>
      <c r="AW556" s="115"/>
      <c r="AX556" s="115"/>
      <c r="AY556" s="115"/>
      <c r="AZ556" s="995"/>
      <c r="BA556" s="115"/>
      <c r="BB556" s="115"/>
      <c r="BC556" s="115"/>
      <c r="BD556" s="115"/>
      <c r="BE556" s="995"/>
      <c r="BF556" s="115"/>
      <c r="BG556" s="115"/>
      <c r="BH556" s="641"/>
      <c r="BI556" s="115"/>
      <c r="BJ556" s="995"/>
      <c r="BK556" s="115"/>
      <c r="BL556" s="115"/>
      <c r="BM556" s="115"/>
      <c r="BN556" s="115"/>
      <c r="BO556" s="995"/>
      <c r="BP556" s="995"/>
      <c r="BQ556" s="995"/>
      <c r="BR556" s="995"/>
      <c r="BS556" s="305"/>
    </row>
    <row r="557" spans="1:71" s="51" customFormat="1" ht="15" hidden="1" outlineLevel="2">
      <c r="A557" s="109" t="s">
        <v>577</v>
      </c>
      <c r="B557" s="391"/>
      <c r="C557" s="1000"/>
      <c r="D557" s="1000"/>
      <c r="E557" s="1000"/>
      <c r="F557" s="1000"/>
      <c r="G557" s="1000"/>
      <c r="H557" s="128"/>
      <c r="I557" s="128"/>
      <c r="J557" s="128"/>
      <c r="K557" s="128"/>
      <c r="L557" s="1000"/>
      <c r="M557" s="128"/>
      <c r="N557" s="128"/>
      <c r="O557" s="128"/>
      <c r="P557" s="128"/>
      <c r="Q557" s="1031">
        <v>7359</v>
      </c>
      <c r="R557" s="922">
        <v>7385</v>
      </c>
      <c r="S557" s="922">
        <v>7410</v>
      </c>
      <c r="T557" s="922">
        <v>7446</v>
      </c>
      <c r="U557" s="57">
        <f>V557</f>
        <v>7464</v>
      </c>
      <c r="V557" s="1031">
        <v>7464</v>
      </c>
      <c r="W557" s="922">
        <v>7497</v>
      </c>
      <c r="X557" s="922">
        <v>7514</v>
      </c>
      <c r="Y557" s="922">
        <v>7559</v>
      </c>
      <c r="Z557" s="57">
        <f>AA557</f>
        <v>7608</v>
      </c>
      <c r="AA557" s="1031">
        <v>7608</v>
      </c>
      <c r="AB557" s="922">
        <v>7603</v>
      </c>
      <c r="AC557" s="922">
        <v>7630</v>
      </c>
      <c r="AD557" s="922">
        <v>7650</v>
      </c>
      <c r="AE557" s="57">
        <f>AF557</f>
        <v>7656</v>
      </c>
      <c r="AF557" s="1031">
        <v>7656</v>
      </c>
      <c r="AG557" s="922">
        <v>7686</v>
      </c>
      <c r="AH557" s="922">
        <v>7711</v>
      </c>
      <c r="AI557" s="922">
        <v>7733</v>
      </c>
      <c r="AJ557" s="57">
        <f>AK557</f>
        <v>7805</v>
      </c>
      <c r="AK557" s="1031">
        <v>7805</v>
      </c>
      <c r="AL557" s="922">
        <v>7754</v>
      </c>
      <c r="AM557" s="922">
        <v>7857</v>
      </c>
      <c r="AN557" s="922">
        <v>7932</v>
      </c>
      <c r="AO557" s="57">
        <f>AP557</f>
        <v>8013</v>
      </c>
      <c r="AP557" s="1031">
        <v>8013</v>
      </c>
      <c r="AQ557" s="128"/>
      <c r="AR557" s="128"/>
      <c r="AS557" s="128"/>
      <c r="AT557" s="128"/>
      <c r="AU557" s="1000"/>
      <c r="AV557" s="128"/>
      <c r="AW557" s="128"/>
      <c r="AX557" s="128"/>
      <c r="AY557" s="128"/>
      <c r="AZ557" s="1000"/>
      <c r="BA557" s="128"/>
      <c r="BB557" s="128"/>
      <c r="BC557" s="128"/>
      <c r="BD557" s="128"/>
      <c r="BE557" s="1000"/>
      <c r="BF557" s="128"/>
      <c r="BG557" s="128"/>
      <c r="BH557" s="465"/>
      <c r="BI557" s="128"/>
      <c r="BJ557" s="1000"/>
      <c r="BK557" s="128"/>
      <c r="BL557" s="128"/>
      <c r="BM557" s="128"/>
      <c r="BN557" s="128"/>
      <c r="BO557" s="1000"/>
      <c r="BP557" s="1000"/>
      <c r="BQ557" s="1000"/>
      <c r="BR557" s="1000"/>
      <c r="BS557" s="57"/>
    </row>
    <row r="558" spans="1:71" s="51" customFormat="1" ht="15" hidden="1" outlineLevel="2">
      <c r="A558" s="109" t="s">
        <v>578</v>
      </c>
      <c r="B558" s="391"/>
      <c r="C558" s="1000"/>
      <c r="D558" s="1000"/>
      <c r="E558" s="1000"/>
      <c r="F558" s="1000"/>
      <c r="G558" s="1000"/>
      <c r="H558" s="128"/>
      <c r="I558" s="128"/>
      <c r="J558" s="128"/>
      <c r="K558" s="128"/>
      <c r="L558" s="1000"/>
      <c r="M558" s="128"/>
      <c r="N558" s="128"/>
      <c r="O558" s="128"/>
      <c r="P558" s="128"/>
      <c r="Q558" s="1000"/>
      <c r="R558" s="57">
        <f t="shared" si="1859" ref="R558">AVERAGE(Q557,R557)</f>
        <v>7372</v>
      </c>
      <c r="S558" s="57">
        <f t="shared" si="1860" ref="S558">AVERAGE(R557,S557)</f>
        <v>7397.50</v>
      </c>
      <c r="T558" s="57">
        <f t="shared" si="1861" ref="T558">AVERAGE(S557,T557)</f>
        <v>7428</v>
      </c>
      <c r="U558" s="57">
        <f t="shared" si="1862" ref="U558">AVERAGE(T557,U557)</f>
        <v>7455</v>
      </c>
      <c r="V558" s="999">
        <f>SUM(R558*R$3,S558*S$3,T558*T$3,U558*U$3)/SUM(R$3,S$3,T$3,U$3)</f>
        <v>7413.2800546448088</v>
      </c>
      <c r="W558" s="57">
        <f t="shared" si="1863" ref="W558">AVERAGE(V557,W557)</f>
        <v>7480.50</v>
      </c>
      <c r="X558" s="57">
        <f t="shared" si="1864" ref="X558">AVERAGE(W557,X557)</f>
        <v>7505.50</v>
      </c>
      <c r="Y558" s="57">
        <f t="shared" si="1865" ref="Y558">AVERAGE(X557,Y557)</f>
        <v>7536.50</v>
      </c>
      <c r="Z558" s="57">
        <f t="shared" si="1866" ref="Z558">AVERAGE(Y557,Z557)</f>
        <v>7583.50</v>
      </c>
      <c r="AA558" s="999">
        <f>SUM(W558*W$3,X558*X$3,Y558*Y$3,Z558*Z$3)/SUM(W$3,X$3,Y$3,Z$3)</f>
        <v>7526.8095890410959</v>
      </c>
      <c r="AB558" s="57">
        <f t="shared" si="1867" ref="AB558">AVERAGE(AA557,AB557)</f>
        <v>7605.50</v>
      </c>
      <c r="AC558" s="57">
        <f t="shared" si="1868" ref="AC558">AVERAGE(AB557,AC557)</f>
        <v>7616.50</v>
      </c>
      <c r="AD558" s="57">
        <f t="shared" si="1869" ref="AD558">AVERAGE(AC557,AD557)</f>
        <v>7640</v>
      </c>
      <c r="AE558" s="57">
        <f t="shared" si="1870" ref="AE558">AVERAGE(AD557,AE557)</f>
        <v>7653</v>
      </c>
      <c r="AF558" s="999">
        <f>SUM(AB558*AB$3,AC558*AC$3,AD558*AD$3,AE558*AE$3)/SUM(AB$3,AC$3,AD$3,AE$3)</f>
        <v>7628.91095890411</v>
      </c>
      <c r="AG558" s="57">
        <f t="shared" si="1871" ref="AG558:AJ558">AVERAGE(AF557,AG557)</f>
        <v>7671</v>
      </c>
      <c r="AH558" s="57">
        <f t="shared" si="1871"/>
        <v>7698.50</v>
      </c>
      <c r="AI558" s="57">
        <f t="shared" si="1871"/>
        <v>7722</v>
      </c>
      <c r="AJ558" s="57">
        <f t="shared" si="1871"/>
        <v>7769</v>
      </c>
      <c r="AK558" s="999">
        <f>SUM(AG558*AG$3,AH558*AH$3,AI558*AI$3,AJ558*AJ$3)/SUM(AG$3,AH$3,AI$3,AJ$3)</f>
        <v>7715.4123287671237</v>
      </c>
      <c r="AL558" s="57">
        <f>AVERAGE(AK557,AL557)</f>
        <v>7779.50</v>
      </c>
      <c r="AM558" s="57">
        <f>AVERAGE(AL557,AM557)</f>
        <v>7805.50</v>
      </c>
      <c r="AN558" s="57">
        <f>AVERAGE(AM557,AN557)</f>
        <v>7894.50</v>
      </c>
      <c r="AO558" s="57">
        <f t="shared" si="1872" ref="AO558">AVERAGE(AN557,AO557)</f>
        <v>7972.50</v>
      </c>
      <c r="AP558" s="999">
        <f>SUM(AL558*AL$3,AM558*AM$3,AN558*AN$3,AO558*AO$3)/SUM(AL$3,AM$3,AN$3,AO$3)</f>
        <v>7863.3852459016398</v>
      </c>
      <c r="AQ558" s="128"/>
      <c r="AR558" s="128"/>
      <c r="AS558" s="128"/>
      <c r="AT558" s="128"/>
      <c r="AU558" s="1000"/>
      <c r="AV558" s="128"/>
      <c r="AW558" s="128"/>
      <c r="AX558" s="128"/>
      <c r="AY558" s="128"/>
      <c r="AZ558" s="1000"/>
      <c r="BA558" s="128"/>
      <c r="BB558" s="128"/>
      <c r="BC558" s="128"/>
      <c r="BD558" s="128"/>
      <c r="BE558" s="1000"/>
      <c r="BF558" s="128"/>
      <c r="BG558" s="128"/>
      <c r="BH558" s="465"/>
      <c r="BI558" s="128"/>
      <c r="BJ558" s="1000"/>
      <c r="BK558" s="128"/>
      <c r="BL558" s="128"/>
      <c r="BM558" s="128"/>
      <c r="BN558" s="128"/>
      <c r="BO558" s="1000"/>
      <c r="BP558" s="1000"/>
      <c r="BQ558" s="1000"/>
      <c r="BR558" s="1000"/>
      <c r="BS558" s="57"/>
    </row>
    <row r="559" spans="1:71" s="29" customFormat="1" ht="15" hidden="1" outlineLevel="2">
      <c r="A559" s="42" t="s">
        <v>579</v>
      </c>
      <c r="B559" s="232"/>
      <c r="C559" s="1025"/>
      <c r="D559" s="1025"/>
      <c r="E559" s="1025"/>
      <c r="F559" s="1025"/>
      <c r="G559" s="1025"/>
      <c r="H559" s="650"/>
      <c r="I559" s="650"/>
      <c r="J559" s="650"/>
      <c r="K559" s="650"/>
      <c r="L559" s="1025"/>
      <c r="M559" s="650"/>
      <c r="N559" s="650"/>
      <c r="O559" s="650"/>
      <c r="P559" s="650"/>
      <c r="Q559" s="1025"/>
      <c r="R559" s="650"/>
      <c r="S559" s="650"/>
      <c r="T559" s="650"/>
      <c r="U559" s="650"/>
      <c r="V559" s="1033">
        <f>V557/Q557-1</f>
        <v>0.014268242967794498</v>
      </c>
      <c r="W559" s="649">
        <f t="shared" si="1873" ref="W559:AL559">W557/R557-1</f>
        <v>0.015165876777251119</v>
      </c>
      <c r="X559" s="649">
        <f t="shared" si="1873"/>
        <v>0.014035087719298289</v>
      </c>
      <c r="Y559" s="649">
        <f t="shared" si="1873"/>
        <v>0.015175933387053364</v>
      </c>
      <c r="Z559" s="649">
        <f t="shared" si="1873"/>
        <v>0.019292604501607746</v>
      </c>
      <c r="AA559" s="1033">
        <f t="shared" si="1873"/>
        <v>0.019292604501607746</v>
      </c>
      <c r="AB559" s="649">
        <f t="shared" si="1873"/>
        <v>0.014138988928904972</v>
      </c>
      <c r="AC559" s="649">
        <f t="shared" si="1873"/>
        <v>0.015437849347883947</v>
      </c>
      <c r="AD559" s="649">
        <f t="shared" si="1873"/>
        <v>0.012038629448339666</v>
      </c>
      <c r="AE559" s="649">
        <f t="shared" si="1873"/>
        <v>0.0063091482649841879</v>
      </c>
      <c r="AF559" s="1033">
        <f t="shared" si="1873"/>
        <v>0.0063091482649841879</v>
      </c>
      <c r="AG559" s="649">
        <f t="shared" si="1873"/>
        <v>0.01091674339076687</v>
      </c>
      <c r="AH559" s="649">
        <f t="shared" si="1873"/>
        <v>0.010615989515072144</v>
      </c>
      <c r="AI559" s="649">
        <f t="shared" si="1873"/>
        <v>0.010849673202614429</v>
      </c>
      <c r="AJ559" s="649">
        <f t="shared" si="1873"/>
        <v>0.019461859979101437</v>
      </c>
      <c r="AK559" s="1033">
        <f t="shared" si="1873"/>
        <v>0.019461859979101437</v>
      </c>
      <c r="AL559" s="649">
        <f t="shared" si="1873"/>
        <v>0.008847254748894029</v>
      </c>
      <c r="AM559" s="649">
        <f>AM557/AH557-1</f>
        <v>0.018933990403319889</v>
      </c>
      <c r="AN559" s="649">
        <f>AN557/AI557-1</f>
        <v>0.025733867839131008</v>
      </c>
      <c r="AO559" s="649">
        <f t="shared" si="1874" ref="AO559:AP559">AO557/AJ557-1</f>
        <v>0.026649583600256266</v>
      </c>
      <c r="AP559" s="1033">
        <f t="shared" si="1874"/>
        <v>0.026649583600256266</v>
      </c>
      <c r="AQ559" s="650"/>
      <c r="AR559" s="650"/>
      <c r="AS559" s="650"/>
      <c r="AT559" s="650"/>
      <c r="AU559" s="1025"/>
      <c r="AV559" s="650"/>
      <c r="AW559" s="650"/>
      <c r="AX559" s="650"/>
      <c r="AY559" s="650"/>
      <c r="AZ559" s="1025"/>
      <c r="BA559" s="650"/>
      <c r="BB559" s="650"/>
      <c r="BC559" s="650"/>
      <c r="BD559" s="650"/>
      <c r="BE559" s="1025"/>
      <c r="BF559" s="650"/>
      <c r="BG559" s="650"/>
      <c r="BH559" s="752"/>
      <c r="BI559" s="650"/>
      <c r="BJ559" s="1025"/>
      <c r="BK559" s="650"/>
      <c r="BL559" s="650"/>
      <c r="BM559" s="650"/>
      <c r="BN559" s="650"/>
      <c r="BO559" s="1025"/>
      <c r="BP559" s="1025"/>
      <c r="BQ559" s="1025"/>
      <c r="BR559" s="1025"/>
      <c r="BS559" s="649"/>
    </row>
    <row r="560" spans="1:71" s="51" customFormat="1" ht="15" hidden="1" outlineLevel="2">
      <c r="A560" s="480"/>
      <c r="B560" s="391"/>
      <c r="C560" s="1000"/>
      <c r="D560" s="1000"/>
      <c r="E560" s="1000"/>
      <c r="F560" s="1000"/>
      <c r="G560" s="1000"/>
      <c r="H560" s="128"/>
      <c r="I560" s="128"/>
      <c r="J560" s="128"/>
      <c r="K560" s="128"/>
      <c r="L560" s="1000"/>
      <c r="M560" s="128"/>
      <c r="N560" s="128"/>
      <c r="O560" s="128"/>
      <c r="P560" s="128"/>
      <c r="Q560" s="1000"/>
      <c r="R560" s="128"/>
      <c r="S560" s="128"/>
      <c r="T560" s="128"/>
      <c r="U560" s="128"/>
      <c r="V560" s="1000"/>
      <c r="W560" s="128"/>
      <c r="X560" s="128"/>
      <c r="Y560" s="128"/>
      <c r="Z560" s="128"/>
      <c r="AA560" s="1000"/>
      <c r="AB560" s="128"/>
      <c r="AC560" s="128"/>
      <c r="AD560" s="128"/>
      <c r="AE560" s="128"/>
      <c r="AF560" s="1000"/>
      <c r="AG560" s="128"/>
      <c r="AH560" s="128"/>
      <c r="AI560" s="128"/>
      <c r="AJ560" s="128"/>
      <c r="AK560" s="1000"/>
      <c r="AL560" s="128"/>
      <c r="AM560" s="128"/>
      <c r="AN560" s="128"/>
      <c r="AO560" s="128"/>
      <c r="AP560" s="1000"/>
      <c r="AQ560" s="128"/>
      <c r="AR560" s="128"/>
      <c r="AS560" s="128"/>
      <c r="AT560" s="128"/>
      <c r="AU560" s="1000"/>
      <c r="AV560" s="128"/>
      <c r="AW560" s="128"/>
      <c r="AX560" s="128"/>
      <c r="AY560" s="128"/>
      <c r="AZ560" s="1000"/>
      <c r="BA560" s="128"/>
      <c r="BB560" s="128"/>
      <c r="BC560" s="128"/>
      <c r="BD560" s="128"/>
      <c r="BE560" s="1000"/>
      <c r="BF560" s="128"/>
      <c r="BG560" s="128"/>
      <c r="BH560" s="465"/>
      <c r="BI560" s="128"/>
      <c r="BJ560" s="1000"/>
      <c r="BK560" s="128"/>
      <c r="BL560" s="128"/>
      <c r="BM560" s="128"/>
      <c r="BN560" s="128"/>
      <c r="BO560" s="1000"/>
      <c r="BP560" s="1000"/>
      <c r="BQ560" s="1000"/>
      <c r="BR560" s="1000"/>
      <c r="BS560" s="57"/>
    </row>
    <row r="561" spans="1:71" s="32" customFormat="1" ht="15" hidden="1" outlineLevel="2">
      <c r="A561" s="41" t="s">
        <v>580</v>
      </c>
      <c r="B561" s="234"/>
      <c r="C561" s="1035"/>
      <c r="D561" s="1035"/>
      <c r="E561" s="1035"/>
      <c r="F561" s="1035"/>
      <c r="G561" s="1035"/>
      <c r="H561" s="221"/>
      <c r="I561" s="221"/>
      <c r="J561" s="221"/>
      <c r="K561" s="221"/>
      <c r="L561" s="1035"/>
      <c r="M561" s="221"/>
      <c r="N561" s="221"/>
      <c r="O561" s="221"/>
      <c r="P561" s="221"/>
      <c r="Q561" s="1035"/>
      <c r="R561" s="54">
        <f>R534/R558*(V$3/R$3)</f>
        <v>0.1702193628400899</v>
      </c>
      <c r="S561" s="54">
        <f>S534/S558*(V$3/S$3)</f>
        <v>0.16854520943740275</v>
      </c>
      <c r="T561" s="54">
        <f>T534/T558*(V$3/T$3)</f>
        <v>0.16602865772283487</v>
      </c>
      <c r="U561" s="54">
        <f>U534/U558*(V$3/U$3)</f>
        <v>0.16969643950660485</v>
      </c>
      <c r="V561" s="1036">
        <f>V534/V558</f>
        <v>0.16861631973782096</v>
      </c>
      <c r="W561" s="54">
        <f>W534/W558*(AA$3/W$3)</f>
        <v>0.17403025644453354</v>
      </c>
      <c r="X561" s="54">
        <f>X534/X558*(AA$3/X$3)</f>
        <v>0.17047571707487769</v>
      </c>
      <c r="Y561" s="54">
        <f>Y534/Y558*(AA$3/Y$3)</f>
        <v>0.16634985101491581</v>
      </c>
      <c r="Z561" s="54">
        <f>Z534/Z558*(AA$3/Z$3)</f>
        <v>0.16950415805481581</v>
      </c>
      <c r="AA561" s="1036">
        <f>AA534/AA558</f>
        <v>0.17005877255931354</v>
      </c>
      <c r="AB561" s="54">
        <f>AB534/AB558*(AF$3/AB$3)</f>
        <v>0.17436942563495716</v>
      </c>
      <c r="AC561" s="54">
        <f>AC534/AC558*(AF$3/AC$3)</f>
        <v>0.17167759700419058</v>
      </c>
      <c r="AD561" s="54">
        <f>AD534/AD558*(AF$3/AD$3)</f>
        <v>0.16721204188481675</v>
      </c>
      <c r="AE561" s="54">
        <f>AE534/AE558*(AF$3/AE$3)</f>
        <v>0.17625938108954145</v>
      </c>
      <c r="AF561" s="1036">
        <f>AF534/AF558</f>
        <v>0.17237060533065904</v>
      </c>
      <c r="AG561" s="54">
        <f>AG534/AG558*(AK$3/AG$3)</f>
        <v>0.17816741262185143</v>
      </c>
      <c r="AH561" s="54">
        <f>AH534/AH558*(AK$3/AH$3)</f>
        <v>0.17349604996549206</v>
      </c>
      <c r="AI561" s="54">
        <f>AI534/AI558*(AK$3/AI$3)</f>
        <v>0.17006041462563204</v>
      </c>
      <c r="AJ561" s="54">
        <f>AJ534/AJ558*(AK$3/AJ$3)</f>
        <v>0.17464896718843564</v>
      </c>
      <c r="AK561" s="1036">
        <f>AK534/AK558</f>
        <v>0.17406717136718516</v>
      </c>
      <c r="AL561" s="54">
        <f>AL534/AL558*(AP$3/AL$3)</f>
        <v>0.17215999502778856</v>
      </c>
      <c r="AM561" s="54">
        <f>AM534/AM558*(AP$3/AM$3)</f>
        <v>0.17467818198072507</v>
      </c>
      <c r="AN561" s="54">
        <f>AN534/AN558*(AP$3/AN$3)</f>
        <v>0.1662962932366232</v>
      </c>
      <c r="AO561" s="54">
        <f>AO534/AO558*(AP$3/AO$3)</f>
        <v>0.16866129494048837</v>
      </c>
      <c r="AP561" s="1036">
        <f>AP534/AP558</f>
        <v>0.17041006616055113</v>
      </c>
      <c r="AQ561" s="221"/>
      <c r="AR561" s="221"/>
      <c r="AS561" s="221"/>
      <c r="AT561" s="221"/>
      <c r="AU561" s="1035"/>
      <c r="AV561" s="221"/>
      <c r="AW561" s="221"/>
      <c r="AX561" s="221"/>
      <c r="AY561" s="221"/>
      <c r="AZ561" s="1035"/>
      <c r="BA561" s="221"/>
      <c r="BB561" s="221"/>
      <c r="BC561" s="221"/>
      <c r="BD561" s="221"/>
      <c r="BE561" s="1035"/>
      <c r="BF561" s="221"/>
      <c r="BG561" s="221"/>
      <c r="BH561" s="757"/>
      <c r="BI561" s="221"/>
      <c r="BJ561" s="1035"/>
      <c r="BK561" s="221"/>
      <c r="BL561" s="221"/>
      <c r="BM561" s="221"/>
      <c r="BN561" s="221"/>
      <c r="BO561" s="1035"/>
      <c r="BP561" s="1035"/>
      <c r="BQ561" s="1035"/>
      <c r="BR561" s="1035"/>
      <c r="BS561" s="54"/>
    </row>
    <row r="562" spans="1:71" s="32" customFormat="1" ht="15" hidden="1" outlineLevel="2">
      <c r="A562" s="41" t="s">
        <v>573</v>
      </c>
      <c r="B562" s="234"/>
      <c r="C562" s="1035"/>
      <c r="D562" s="1035"/>
      <c r="E562" s="1035"/>
      <c r="F562" s="1035"/>
      <c r="G562" s="1035"/>
      <c r="H562" s="221"/>
      <c r="I562" s="221"/>
      <c r="J562" s="221"/>
      <c r="K562" s="221"/>
      <c r="L562" s="1035"/>
      <c r="M562" s="221"/>
      <c r="N562" s="221"/>
      <c r="O562" s="221"/>
      <c r="P562" s="221"/>
      <c r="Q562" s="1035"/>
      <c r="R562" s="221"/>
      <c r="S562" s="221"/>
      <c r="T562" s="221"/>
      <c r="U562" s="221"/>
      <c r="V562" s="1036">
        <f t="shared" si="1875" ref="V562:AK562">-V540/V558</f>
        <v>0.038444520900223184</v>
      </c>
      <c r="W562" s="54">
        <f>-W540/W558*(AA$3/W$3)</f>
        <v>0.037408372880600671</v>
      </c>
      <c r="X562" s="54">
        <f>-X540/X558*(AA$3/X$3)</f>
        <v>0.037942871198483746</v>
      </c>
      <c r="Y562" s="54">
        <f>-Y540/Y558*(AA$3/Y$3)</f>
        <v>0.037376074120439945</v>
      </c>
      <c r="Z562" s="54">
        <f>-Z540/Z558*(AA$3/Z$3)</f>
        <v>0.037144429697197293</v>
      </c>
      <c r="AA562" s="1036">
        <f t="shared" si="1875"/>
        <v>0.037466073329473763</v>
      </c>
      <c r="AB562" s="54">
        <f>-AB540/AB558*(AF$3/AB$3)</f>
        <v>0.037326788362223237</v>
      </c>
      <c r="AC562" s="54">
        <f>-AC540/AC558*(AF$3/AC$3)</f>
        <v>0.037389906096004698</v>
      </c>
      <c r="AD562" s="54">
        <f>-AD540/AD558*(AF$3/AD$3)</f>
        <v>0.037389027999089462</v>
      </c>
      <c r="AE562" s="54">
        <f>-AE540/AE558*(AF$3/AE$3)</f>
        <v>0.03732551599543231</v>
      </c>
      <c r="AF562" s="1036">
        <f t="shared" si="1875"/>
        <v>0.037357887847329144</v>
      </c>
      <c r="AG562" s="54">
        <f>-AG540/AG558*(AK$3/AG$3)</f>
        <v>0.038065441272324335</v>
      </c>
      <c r="AH562" s="54">
        <f>-AH540/AH558*(AK$3/AH$3)</f>
        <v>0.036470641133887219</v>
      </c>
      <c r="AI562" s="54">
        <f>-AI540/AI558*(AK$3/AI$3)</f>
        <v>0.043671103453712147</v>
      </c>
      <c r="AJ562" s="54">
        <f>-AJ540/AJ558*(AK$3/AJ$3)</f>
        <v>0.036768203618618031</v>
      </c>
      <c r="AK562" s="1036">
        <f t="shared" si="1875"/>
        <v>0.038753599582120893</v>
      </c>
      <c r="AL562" s="54">
        <f>-AL540/AL558*(AP$3/AL$3)</f>
        <v>0.028951830995664146</v>
      </c>
      <c r="AM562" s="54">
        <f>-AM540/AM558*(AP$3/AM$3)</f>
        <v>0.058741335533341169</v>
      </c>
      <c r="AN562" s="54">
        <f>-AN540/AN558*(AP$3/AN$3)</f>
        <v>0.038298540260555645</v>
      </c>
      <c r="AO562" s="54">
        <f>-AO540/AO558*(AP$3/AO$3)</f>
        <v>0.041416826864084419</v>
      </c>
      <c r="AP562" s="1036">
        <f t="shared" si="1876" ref="AP562">-AP540/AP558</f>
        <v>0.041839486393150237</v>
      </c>
      <c r="AQ562" s="221"/>
      <c r="AR562" s="221"/>
      <c r="AS562" s="221"/>
      <c r="AT562" s="221"/>
      <c r="AU562" s="1035"/>
      <c r="AV562" s="221"/>
      <c r="AW562" s="221"/>
      <c r="AX562" s="221"/>
      <c r="AY562" s="221"/>
      <c r="AZ562" s="1035"/>
      <c r="BA562" s="221"/>
      <c r="BB562" s="221"/>
      <c r="BC562" s="221"/>
      <c r="BD562" s="221"/>
      <c r="BE562" s="1035"/>
      <c r="BF562" s="221"/>
      <c r="BG562" s="221"/>
      <c r="BH562" s="757"/>
      <c r="BI562" s="221"/>
      <c r="BJ562" s="1035"/>
      <c r="BK562" s="221"/>
      <c r="BL562" s="221"/>
      <c r="BM562" s="221"/>
      <c r="BN562" s="221"/>
      <c r="BO562" s="1035"/>
      <c r="BP562" s="1035"/>
      <c r="BQ562" s="1035"/>
      <c r="BR562" s="1035"/>
      <c r="BS562" s="54"/>
    </row>
    <row r="563" spans="1:71" s="32" customFormat="1" ht="15" hidden="1" outlineLevel="2">
      <c r="A563" s="41" t="s">
        <v>598</v>
      </c>
      <c r="B563" s="234"/>
      <c r="C563" s="1035"/>
      <c r="D563" s="1035"/>
      <c r="E563" s="1035"/>
      <c r="F563" s="1035"/>
      <c r="G563" s="1035"/>
      <c r="H563" s="221"/>
      <c r="I563" s="221"/>
      <c r="J563" s="221"/>
      <c r="K563" s="221"/>
      <c r="L563" s="1035"/>
      <c r="M563" s="221"/>
      <c r="N563" s="221"/>
      <c r="O563" s="221"/>
      <c r="P563" s="221"/>
      <c r="Q563" s="1035"/>
      <c r="R563" s="221"/>
      <c r="S563" s="221"/>
      <c r="T563" s="221"/>
      <c r="U563" s="221"/>
      <c r="V563" s="1036">
        <f t="shared" si="1877" ref="V563:AK563">-V541/V558</f>
        <v>0.017670990308523638</v>
      </c>
      <c r="W563" s="54">
        <f>-W541/W558*(AA$3/W$3)</f>
        <v>0.019517411937704697</v>
      </c>
      <c r="X563" s="54">
        <f>-X541/X558*(AA$3/X$3)</f>
        <v>0.020841858827336142</v>
      </c>
      <c r="Y563" s="54">
        <f>-Y541/Y558*(AA$3/Y$3)</f>
        <v>0.015266283795672655</v>
      </c>
      <c r="Z563" s="54">
        <f>-Z541/Z558*(AA$3/Z$3)</f>
        <v>0.015694829449519981</v>
      </c>
      <c r="AA563" s="1036">
        <f t="shared" si="1877"/>
        <v>0.017803027752303136</v>
      </c>
      <c r="AB563" s="54">
        <f>-AB541/AB558*(AF$3/AB$3)</f>
        <v>0.017596914513619527</v>
      </c>
      <c r="AC563" s="54">
        <f>-AC541/AC558*(AF$3/AC$3)</f>
        <v>0.018431643850143162</v>
      </c>
      <c r="AD563" s="54">
        <f>-AD541/AD558*(AF$3/AD$3)</f>
        <v>0.019733098110630547</v>
      </c>
      <c r="AE563" s="54">
        <f>-AE541/AE558*(AF$3/AE$3)</f>
        <v>0.013478658553906113</v>
      </c>
      <c r="AF563" s="1036">
        <f t="shared" si="1877"/>
        <v>0.017302600687184026</v>
      </c>
      <c r="AG563" s="54">
        <f>-AG541/AG558*(AK$3/AG$3)</f>
        <v>0.014803227161459464</v>
      </c>
      <c r="AH563" s="54">
        <f>-AH541/AH558*(AK$3/AH$3)</f>
        <v>0.015109265612610419</v>
      </c>
      <c r="AI563" s="54">
        <f>-AI541/AI558*(AK$3/AI$3)</f>
        <v>0.043157325766021416</v>
      </c>
      <c r="AJ563" s="54">
        <f>-AJ541/AJ558*(AK$3/AJ$3)</f>
        <v>0.016341423830496905</v>
      </c>
      <c r="AK563" s="1036">
        <f t="shared" si="1877"/>
        <v>0.022422651263233829</v>
      </c>
      <c r="AL563" s="54">
        <f>-AL541/AL558*(AP$3/AL$3)</f>
        <v>0.01757789739022466</v>
      </c>
      <c r="AM563" s="54">
        <f>-AM541/AM558*(AP$3/AM$3)</f>
        <v>0.0020610994923979361</v>
      </c>
      <c r="AN563" s="54">
        <f>-AN541/AN558*(AP$3/AN$3)</f>
        <v>0.05341638510024866</v>
      </c>
      <c r="AO563" s="54">
        <f>-AO541/AO558*(AP$3/AO$3)</f>
        <v>0.0024949895701255674</v>
      </c>
      <c r="AP563" s="1036">
        <f t="shared" si="1878" ref="AP563">-AP541/AP558</f>
        <v>0.01894858198352397</v>
      </c>
      <c r="AQ563" s="221"/>
      <c r="AR563" s="221"/>
      <c r="AS563" s="221"/>
      <c r="AT563" s="221"/>
      <c r="AU563" s="1035"/>
      <c r="AV563" s="221"/>
      <c r="AW563" s="221"/>
      <c r="AX563" s="221"/>
      <c r="AY563" s="221"/>
      <c r="AZ563" s="1035"/>
      <c r="BA563" s="221"/>
      <c r="BB563" s="221"/>
      <c r="BC563" s="221"/>
      <c r="BD563" s="221"/>
      <c r="BE563" s="1035"/>
      <c r="BF563" s="221"/>
      <c r="BG563" s="221"/>
      <c r="BH563" s="757"/>
      <c r="BI563" s="221"/>
      <c r="BJ563" s="1035"/>
      <c r="BK563" s="221"/>
      <c r="BL563" s="221"/>
      <c r="BM563" s="221"/>
      <c r="BN563" s="221"/>
      <c r="BO563" s="1035"/>
      <c r="BP563" s="1035"/>
      <c r="BQ563" s="1035"/>
      <c r="BR563" s="1035"/>
      <c r="BS563" s="54"/>
    </row>
    <row r="564" spans="1:71" s="51" customFormat="1" ht="15" hidden="1" outlineLevel="2">
      <c r="A564" s="480"/>
      <c r="B564" s="391"/>
      <c r="C564" s="1000"/>
      <c r="D564" s="1000"/>
      <c r="E564" s="1000"/>
      <c r="F564" s="1000"/>
      <c r="G564" s="1000"/>
      <c r="H564" s="128"/>
      <c r="I564" s="128"/>
      <c r="J564" s="128"/>
      <c r="K564" s="128"/>
      <c r="L564" s="1000"/>
      <c r="M564" s="128"/>
      <c r="N564" s="128"/>
      <c r="O564" s="128"/>
      <c r="P564" s="128"/>
      <c r="Q564" s="1000"/>
      <c r="R564" s="128"/>
      <c r="S564" s="128"/>
      <c r="T564" s="128"/>
      <c r="U564" s="128"/>
      <c r="V564" s="1000"/>
      <c r="W564" s="128"/>
      <c r="X564" s="128"/>
      <c r="Y564" s="128"/>
      <c r="Z564" s="128"/>
      <c r="AA564" s="1000"/>
      <c r="AB564" s="128"/>
      <c r="AC564" s="128"/>
      <c r="AD564" s="128"/>
      <c r="AE564" s="128"/>
      <c r="AF564" s="1000"/>
      <c r="AG564" s="128"/>
      <c r="AH564" s="128"/>
      <c r="AI564" s="128"/>
      <c r="AJ564" s="128"/>
      <c r="AK564" s="1000"/>
      <c r="AL564" s="128"/>
      <c r="AM564" s="128"/>
      <c r="AN564" s="128"/>
      <c r="AO564" s="128"/>
      <c r="AP564" s="1000"/>
      <c r="AQ564" s="128"/>
      <c r="AR564" s="128"/>
      <c r="AS564" s="128"/>
      <c r="AT564" s="128"/>
      <c r="AU564" s="1000"/>
      <c r="AV564" s="128"/>
      <c r="AW564" s="128"/>
      <c r="AX564" s="128"/>
      <c r="AY564" s="128"/>
      <c r="AZ564" s="1000"/>
      <c r="BA564" s="128"/>
      <c r="BB564" s="128"/>
      <c r="BC564" s="128"/>
      <c r="BD564" s="128"/>
      <c r="BE564" s="1000"/>
      <c r="BF564" s="128"/>
      <c r="BG564" s="128"/>
      <c r="BH564" s="465"/>
      <c r="BI564" s="128"/>
      <c r="BJ564" s="1000"/>
      <c r="BK564" s="128"/>
      <c r="BL564" s="128"/>
      <c r="BM564" s="128"/>
      <c r="BN564" s="128"/>
      <c r="BO564" s="1000"/>
      <c r="BP564" s="1000"/>
      <c r="BQ564" s="1000"/>
      <c r="BR564" s="1000"/>
      <c r="BS564" s="57"/>
    </row>
    <row r="565" spans="1:71" s="51" customFormat="1" ht="15" hidden="1" outlineLevel="2">
      <c r="A565" s="109" t="s">
        <v>588</v>
      </c>
      <c r="B565" s="391"/>
      <c r="C565" s="1000"/>
      <c r="D565" s="1000"/>
      <c r="E565" s="1000"/>
      <c r="F565" s="1000"/>
      <c r="G565" s="1000"/>
      <c r="H565" s="128"/>
      <c r="I565" s="128"/>
      <c r="J565" s="128"/>
      <c r="K565" s="128"/>
      <c r="L565" s="1000"/>
      <c r="M565" s="128"/>
      <c r="N565" s="128"/>
      <c r="O565" s="128"/>
      <c r="P565" s="128"/>
      <c r="Q565" s="1000"/>
      <c r="R565" s="128"/>
      <c r="S565" s="128"/>
      <c r="T565" s="128"/>
      <c r="U565" s="128"/>
      <c r="V565" s="1000"/>
      <c r="W565" s="128"/>
      <c r="X565" s="128"/>
      <c r="Y565" s="128"/>
      <c r="Z565" s="128"/>
      <c r="AA565" s="1000"/>
      <c r="AB565" s="57">
        <f t="shared" si="1879" ref="AB565">AA567</f>
        <v>11210</v>
      </c>
      <c r="AC565" s="57">
        <f t="shared" si="1880" ref="AC565">AB567</f>
        <v>11006</v>
      </c>
      <c r="AD565" s="57">
        <f t="shared" si="1881" ref="AD565">AC567</f>
        <v>11129</v>
      </c>
      <c r="AE565" s="57">
        <f>AD567</f>
        <v>11280</v>
      </c>
      <c r="AF565" s="999">
        <f>AA567</f>
        <v>11210</v>
      </c>
      <c r="AG565" s="57">
        <f t="shared" si="1882" ref="AG565">AF567</f>
        <v>10809</v>
      </c>
      <c r="AH565" s="57">
        <f t="shared" si="1883" ref="AH565">AG567</f>
        <v>11216</v>
      </c>
      <c r="AI565" s="57">
        <f t="shared" si="1884" ref="AI565">AH567</f>
        <v>11369</v>
      </c>
      <c r="AJ565" s="57">
        <f>AI567</f>
        <v>11701</v>
      </c>
      <c r="AK565" s="999">
        <f>AF567</f>
        <v>10809</v>
      </c>
      <c r="AL565" s="57">
        <f>AK567</f>
        <v>11914</v>
      </c>
      <c r="AM565" s="57">
        <f>AL567</f>
        <v>11567</v>
      </c>
      <c r="AN565" s="57">
        <f>AM567</f>
        <v>12072</v>
      </c>
      <c r="AO565" s="57">
        <f>AN567</f>
        <v>12340</v>
      </c>
      <c r="AP565" s="999">
        <f>AK567</f>
        <v>11914</v>
      </c>
      <c r="AQ565" s="128"/>
      <c r="AR565" s="128"/>
      <c r="AS565" s="128"/>
      <c r="AT565" s="128"/>
      <c r="AU565" s="1000"/>
      <c r="AV565" s="128"/>
      <c r="AW565" s="128"/>
      <c r="AX565" s="128"/>
      <c r="AY565" s="128"/>
      <c r="AZ565" s="1000"/>
      <c r="BA565" s="128"/>
      <c r="BB565" s="128"/>
      <c r="BC565" s="128"/>
      <c r="BD565" s="128"/>
      <c r="BE565" s="1000"/>
      <c r="BF565" s="128"/>
      <c r="BG565" s="128"/>
      <c r="BH565" s="465"/>
      <c r="BI565" s="128"/>
      <c r="BJ565" s="1000"/>
      <c r="BK565" s="128"/>
      <c r="BL565" s="128"/>
      <c r="BM565" s="128"/>
      <c r="BN565" s="128"/>
      <c r="BO565" s="1000"/>
      <c r="BP565" s="1000"/>
      <c r="BQ565" s="1000"/>
      <c r="BR565" s="1000"/>
      <c r="BS565" s="57"/>
    </row>
    <row r="566" spans="1:71" s="51" customFormat="1" ht="15" hidden="1" outlineLevel="2">
      <c r="A566" s="110" t="s">
        <v>589</v>
      </c>
      <c r="B566" s="497"/>
      <c r="C566" s="1030"/>
      <c r="D566" s="1030"/>
      <c r="E566" s="1030"/>
      <c r="F566" s="1030"/>
      <c r="G566" s="1030"/>
      <c r="H566" s="498"/>
      <c r="I566" s="498"/>
      <c r="J566" s="498"/>
      <c r="K566" s="498"/>
      <c r="L566" s="1030"/>
      <c r="M566" s="498"/>
      <c r="N566" s="498"/>
      <c r="O566" s="498"/>
      <c r="P566" s="498"/>
      <c r="Q566" s="1030"/>
      <c r="R566" s="498"/>
      <c r="S566" s="498"/>
      <c r="T566" s="498"/>
      <c r="U566" s="498"/>
      <c r="V566" s="1030"/>
      <c r="W566" s="498"/>
      <c r="X566" s="498"/>
      <c r="Y566" s="498"/>
      <c r="Z566" s="498"/>
      <c r="AA566" s="1030"/>
      <c r="AB566" s="58">
        <f t="shared" si="1885" ref="AB566:AK566">AB567-AB565</f>
        <v>-204</v>
      </c>
      <c r="AC566" s="58">
        <f t="shared" si="1885"/>
        <v>123</v>
      </c>
      <c r="AD566" s="58">
        <f t="shared" si="1885"/>
        <v>151</v>
      </c>
      <c r="AE566" s="58">
        <f t="shared" si="1885"/>
        <v>-471</v>
      </c>
      <c r="AF566" s="998">
        <f t="shared" si="1885"/>
        <v>-401</v>
      </c>
      <c r="AG566" s="58">
        <f t="shared" si="1885"/>
        <v>407</v>
      </c>
      <c r="AH566" s="58">
        <f t="shared" si="1885"/>
        <v>153</v>
      </c>
      <c r="AI566" s="58">
        <f t="shared" si="1885"/>
        <v>332</v>
      </c>
      <c r="AJ566" s="58">
        <f t="shared" si="1885"/>
        <v>213</v>
      </c>
      <c r="AK566" s="998">
        <f t="shared" si="1885"/>
        <v>1105</v>
      </c>
      <c r="AL566" s="58">
        <f>AL567-AL565</f>
        <v>-347</v>
      </c>
      <c r="AM566" s="58">
        <f>AM567-AM565</f>
        <v>505</v>
      </c>
      <c r="AN566" s="58">
        <f>AN567-AN565</f>
        <v>268</v>
      </c>
      <c r="AO566" s="58">
        <f t="shared" si="1886" ref="AO566:AP566">AO567-AO565</f>
        <v>66</v>
      </c>
      <c r="AP566" s="998">
        <f t="shared" si="1886"/>
        <v>492</v>
      </c>
      <c r="AQ566" s="115"/>
      <c r="AR566" s="115"/>
      <c r="AS566" s="115"/>
      <c r="AT566" s="115"/>
      <c r="AU566" s="995"/>
      <c r="AV566" s="115"/>
      <c r="AW566" s="115"/>
      <c r="AX566" s="115"/>
      <c r="AY566" s="115"/>
      <c r="AZ566" s="995"/>
      <c r="BA566" s="115"/>
      <c r="BB566" s="115"/>
      <c r="BC566" s="115"/>
      <c r="BD566" s="115"/>
      <c r="BE566" s="995"/>
      <c r="BF566" s="115"/>
      <c r="BG566" s="115"/>
      <c r="BH566" s="641"/>
      <c r="BI566" s="115"/>
      <c r="BJ566" s="995"/>
      <c r="BK566" s="115"/>
      <c r="BL566" s="115"/>
      <c r="BM566" s="115"/>
      <c r="BN566" s="115"/>
      <c r="BO566" s="995"/>
      <c r="BP566" s="995"/>
      <c r="BQ566" s="995"/>
      <c r="BR566" s="995"/>
      <c r="BS566" s="57"/>
    </row>
    <row r="567" spans="1:71" s="51" customFormat="1" ht="15" hidden="1" outlineLevel="2">
      <c r="A567" s="109" t="s">
        <v>590</v>
      </c>
      <c r="B567" s="391"/>
      <c r="C567" s="1000"/>
      <c r="D567" s="1000"/>
      <c r="E567" s="1000"/>
      <c r="F567" s="1000"/>
      <c r="G567" s="1000"/>
      <c r="H567" s="128"/>
      <c r="I567" s="128"/>
      <c r="J567" s="128"/>
      <c r="K567" s="128"/>
      <c r="L567" s="1000"/>
      <c r="M567" s="128"/>
      <c r="N567" s="128"/>
      <c r="O567" s="128"/>
      <c r="P567" s="128"/>
      <c r="Q567" s="1000"/>
      <c r="R567" s="128"/>
      <c r="S567" s="128"/>
      <c r="T567" s="128"/>
      <c r="U567" s="128"/>
      <c r="V567" s="1000"/>
      <c r="W567" s="128"/>
      <c r="X567" s="128"/>
      <c r="Y567" s="128"/>
      <c r="Z567" s="128"/>
      <c r="AA567" s="1031">
        <v>11210</v>
      </c>
      <c r="AB567" s="922">
        <v>11006</v>
      </c>
      <c r="AC567" s="922">
        <v>11129</v>
      </c>
      <c r="AD567" s="922">
        <v>11280</v>
      </c>
      <c r="AE567" s="57">
        <f>AF567</f>
        <v>10809</v>
      </c>
      <c r="AF567" s="1031">
        <v>10809</v>
      </c>
      <c r="AG567" s="922">
        <v>11216</v>
      </c>
      <c r="AH567" s="922">
        <v>11369</v>
      </c>
      <c r="AI567" s="922">
        <v>11701</v>
      </c>
      <c r="AJ567" s="57">
        <f>AK567</f>
        <v>11914</v>
      </c>
      <c r="AK567" s="1031">
        <v>11914</v>
      </c>
      <c r="AL567" s="922">
        <v>11567</v>
      </c>
      <c r="AM567" s="922">
        <v>12072</v>
      </c>
      <c r="AN567" s="922">
        <v>12340</v>
      </c>
      <c r="AO567" s="57">
        <f>AP567</f>
        <v>12406</v>
      </c>
      <c r="AP567" s="1031">
        <v>12406</v>
      </c>
      <c r="AQ567" s="128"/>
      <c r="AR567" s="128"/>
      <c r="AS567" s="128"/>
      <c r="AT567" s="128"/>
      <c r="AU567" s="1000"/>
      <c r="AV567" s="128"/>
      <c r="AW567" s="128"/>
      <c r="AX567" s="128"/>
      <c r="AY567" s="128"/>
      <c r="AZ567" s="1000"/>
      <c r="BA567" s="128"/>
      <c r="BB567" s="128"/>
      <c r="BC567" s="128"/>
      <c r="BD567" s="128"/>
      <c r="BE567" s="1000"/>
      <c r="BF567" s="128"/>
      <c r="BG567" s="128"/>
      <c r="BH567" s="465"/>
      <c r="BI567" s="128"/>
      <c r="BJ567" s="1000"/>
      <c r="BK567" s="128"/>
      <c r="BL567" s="128"/>
      <c r="BM567" s="128"/>
      <c r="BN567" s="128"/>
      <c r="BO567" s="1000"/>
      <c r="BP567" s="1000"/>
      <c r="BQ567" s="1000"/>
      <c r="BR567" s="1000"/>
      <c r="BS567" s="57"/>
    </row>
    <row r="568" spans="1:71" s="51" customFormat="1" ht="15" hidden="1" outlineLevel="2">
      <c r="A568" s="109" t="s">
        <v>591</v>
      </c>
      <c r="B568" s="391"/>
      <c r="C568" s="1000"/>
      <c r="D568" s="1000"/>
      <c r="E568" s="1000"/>
      <c r="F568" s="1000"/>
      <c r="G568" s="1000"/>
      <c r="H568" s="128"/>
      <c r="I568" s="128"/>
      <c r="J568" s="128"/>
      <c r="K568" s="128"/>
      <c r="L568" s="1000"/>
      <c r="M568" s="128"/>
      <c r="N568" s="128"/>
      <c r="O568" s="128"/>
      <c r="P568" s="128"/>
      <c r="Q568" s="1000"/>
      <c r="R568" s="128"/>
      <c r="S568" s="128"/>
      <c r="T568" s="128"/>
      <c r="U568" s="128"/>
      <c r="V568" s="1000"/>
      <c r="W568" s="128"/>
      <c r="X568" s="128"/>
      <c r="Y568" s="128"/>
      <c r="Z568" s="128"/>
      <c r="AA568" s="1000"/>
      <c r="AB568" s="57">
        <f t="shared" si="1887" ref="AB568">AVERAGE(AA567,AB567)</f>
        <v>11108</v>
      </c>
      <c r="AC568" s="57">
        <f t="shared" si="1888" ref="AC568">AVERAGE(AB567,AC567)</f>
        <v>11067.50</v>
      </c>
      <c r="AD568" s="57">
        <f t="shared" si="1889" ref="AD568">AVERAGE(AC567,AD567)</f>
        <v>11204.50</v>
      </c>
      <c r="AE568" s="57">
        <f t="shared" si="1890" ref="AE568">AVERAGE(AD567,AE567)</f>
        <v>11044.50</v>
      </c>
      <c r="AF568" s="999">
        <f>SUM(AB568*AB$3,AC568*AC$3,AD568*AD$3,AE568*AE$3)/SUM(AB$3,AC$3,AD$3,AE$3)</f>
        <v>11106.220547945206</v>
      </c>
      <c r="AG568" s="57">
        <f t="shared" si="1891" ref="AG568">AVERAGE(AF567,AG567)</f>
        <v>11012.50</v>
      </c>
      <c r="AH568" s="57">
        <f t="shared" si="1892" ref="AH568">AVERAGE(AG567,AH567)</f>
        <v>11292.50</v>
      </c>
      <c r="AI568" s="57">
        <f t="shared" si="1893" ref="AI568">AVERAGE(AH567,AI567)</f>
        <v>11535</v>
      </c>
      <c r="AJ568" s="57">
        <f t="shared" si="1894" ref="AJ568">AVERAGE(AI567,AJ567)</f>
        <v>11807.50</v>
      </c>
      <c r="AK568" s="999">
        <f>SUM(AG568*AG$3,AH568*AH$3,AI568*AI$3,AJ568*AJ$3)/SUM(AG$3,AH$3,AI$3,AJ$3)</f>
        <v>11414.390410958904</v>
      </c>
      <c r="AL568" s="57">
        <f>AVERAGE(AK567,AL567)</f>
        <v>11740.50</v>
      </c>
      <c r="AM568" s="57">
        <f>AVERAGE(AL567,AM567)</f>
        <v>11819.50</v>
      </c>
      <c r="AN568" s="57">
        <f>AVERAGE(AM567,AN567)</f>
        <v>12206</v>
      </c>
      <c r="AO568" s="57">
        <f t="shared" si="1895" ref="AO568">AVERAGE(AN567,AO567)</f>
        <v>12373</v>
      </c>
      <c r="AP568" s="999">
        <f>SUM(AL568*AL$3,AM568*AM$3,AN568*AN$3,AO568*AO$3)/SUM(AL$3,AM$3,AN$3,AO$3)</f>
        <v>12036.142076502732</v>
      </c>
      <c r="AQ568" s="128"/>
      <c r="AR568" s="128"/>
      <c r="AS568" s="128"/>
      <c r="AT568" s="128"/>
      <c r="AU568" s="1000"/>
      <c r="AV568" s="128"/>
      <c r="AW568" s="128"/>
      <c r="AX568" s="128"/>
      <c r="AY568" s="128"/>
      <c r="AZ568" s="1000"/>
      <c r="BA568" s="128"/>
      <c r="BB568" s="128"/>
      <c r="BC568" s="128"/>
      <c r="BD568" s="128"/>
      <c r="BE568" s="1000"/>
      <c r="BF568" s="128"/>
      <c r="BG568" s="128"/>
      <c r="BH568" s="465"/>
      <c r="BI568" s="128"/>
      <c r="BJ568" s="1000"/>
      <c r="BK568" s="128"/>
      <c r="BL568" s="128"/>
      <c r="BM568" s="128"/>
      <c r="BN568" s="128"/>
      <c r="BO568" s="1000"/>
      <c r="BP568" s="1000"/>
      <c r="BQ568" s="1000"/>
      <c r="BR568" s="1000"/>
      <c r="BS568" s="57"/>
    </row>
    <row r="569" spans="1:71" s="51" customFormat="1" ht="15" hidden="1" outlineLevel="2">
      <c r="A569" s="42" t="s">
        <v>592</v>
      </c>
      <c r="B569" s="391"/>
      <c r="C569" s="1016"/>
      <c r="D569" s="1016"/>
      <c r="E569" s="1016"/>
      <c r="F569" s="1016"/>
      <c r="G569" s="1016"/>
      <c r="H569" s="393"/>
      <c r="I569" s="393"/>
      <c r="J569" s="393"/>
      <c r="K569" s="393"/>
      <c r="L569" s="1016"/>
      <c r="M569" s="393"/>
      <c r="N569" s="393"/>
      <c r="O569" s="393"/>
      <c r="P569" s="393"/>
      <c r="Q569" s="1016"/>
      <c r="R569" s="393"/>
      <c r="S569" s="393"/>
      <c r="T569" s="393"/>
      <c r="U569" s="393"/>
      <c r="V569" s="1016"/>
      <c r="W569" s="393"/>
      <c r="X569" s="393"/>
      <c r="Y569" s="393"/>
      <c r="Z569" s="393"/>
      <c r="AA569" s="1016"/>
      <c r="AB569" s="650"/>
      <c r="AC569" s="650"/>
      <c r="AD569" s="650"/>
      <c r="AE569" s="650"/>
      <c r="AF569" s="1033">
        <f t="shared" si="1896" ref="AF569">AF567/AA567-1</f>
        <v>-0.035771632471008008</v>
      </c>
      <c r="AG569" s="649">
        <f t="shared" si="1897" ref="AG569">AG567/AB567-1</f>
        <v>0.01908050154461205</v>
      </c>
      <c r="AH569" s="649">
        <f t="shared" si="1898" ref="AH569">AH567/AC567-1</f>
        <v>0.021565279899361967</v>
      </c>
      <c r="AI569" s="649">
        <f t="shared" si="1899" ref="AI569">AI567/AD567-1</f>
        <v>0.03732269503546104</v>
      </c>
      <c r="AJ569" s="649">
        <f t="shared" si="1900" ref="AJ569">AJ567/AE567-1</f>
        <v>0.10222962346192976</v>
      </c>
      <c r="AK569" s="1033">
        <f t="shared" si="1901" ref="AK569">AK567/AF567-1</f>
        <v>0.10222962346192976</v>
      </c>
      <c r="AL569" s="649">
        <f t="shared" si="1902" ref="AL569">AL567/AG567-1</f>
        <v>0.031294579172610471</v>
      </c>
      <c r="AM569" s="649">
        <f>AM567/AH567-1</f>
        <v>0.061834813967807101</v>
      </c>
      <c r="AN569" s="649">
        <f>AN567/AI567-1</f>
        <v>0.054610717032732348</v>
      </c>
      <c r="AO569" s="649">
        <f t="shared" si="1903" ref="AO569:AP569">AO567/AJ567-1</f>
        <v>0.041295954339432672</v>
      </c>
      <c r="AP569" s="1033">
        <f t="shared" si="1903"/>
        <v>0.041295954339432672</v>
      </c>
      <c r="AQ569" s="650"/>
      <c r="AR569" s="650"/>
      <c r="AS569" s="650"/>
      <c r="AT569" s="650"/>
      <c r="AU569" s="1025"/>
      <c r="AV569" s="650"/>
      <c r="AW569" s="650"/>
      <c r="AX569" s="650"/>
      <c r="AY569" s="650"/>
      <c r="AZ569" s="1025"/>
      <c r="BA569" s="650"/>
      <c r="BB569" s="650"/>
      <c r="BC569" s="650"/>
      <c r="BD569" s="650"/>
      <c r="BE569" s="1025"/>
      <c r="BF569" s="650"/>
      <c r="BG569" s="650"/>
      <c r="BH569" s="752"/>
      <c r="BI569" s="650"/>
      <c r="BJ569" s="1025"/>
      <c r="BK569" s="650"/>
      <c r="BL569" s="650"/>
      <c r="BM569" s="650"/>
      <c r="BN569" s="650"/>
      <c r="BO569" s="1025"/>
      <c r="BP569" s="1025"/>
      <c r="BQ569" s="1025"/>
      <c r="BR569" s="1025"/>
      <c r="BS569" s="57"/>
    </row>
    <row r="570" spans="1:71" s="51" customFormat="1" ht="15" hidden="1" outlineLevel="2">
      <c r="A570" s="220"/>
      <c r="B570" s="391"/>
      <c r="C570" s="1000"/>
      <c r="D570" s="1000"/>
      <c r="E570" s="1000"/>
      <c r="F570" s="1000"/>
      <c r="G570" s="1000"/>
      <c r="H570" s="128"/>
      <c r="I570" s="128"/>
      <c r="J570" s="128"/>
      <c r="K570" s="128"/>
      <c r="L570" s="1000"/>
      <c r="M570" s="128"/>
      <c r="N570" s="128"/>
      <c r="O570" s="128"/>
      <c r="P570" s="128"/>
      <c r="Q570" s="1000"/>
      <c r="R570" s="128"/>
      <c r="S570" s="128"/>
      <c r="T570" s="128"/>
      <c r="U570" s="128"/>
      <c r="V570" s="1000"/>
      <c r="W570" s="128"/>
      <c r="X570" s="128"/>
      <c r="Y570" s="128"/>
      <c r="Z570" s="128"/>
      <c r="AA570" s="1000"/>
      <c r="AB570" s="128"/>
      <c r="AC570" s="128"/>
      <c r="AD570" s="128"/>
      <c r="AE570" s="128"/>
      <c r="AF570" s="1000"/>
      <c r="AG570" s="128"/>
      <c r="AH570" s="128"/>
      <c r="AI570" s="128"/>
      <c r="AJ570" s="128"/>
      <c r="AK570" s="1000"/>
      <c r="AL570" s="128"/>
      <c r="AM570" s="128"/>
      <c r="AN570" s="128"/>
      <c r="AO570" s="128"/>
      <c r="AP570" s="1000"/>
      <c r="AQ570" s="128"/>
      <c r="AR570" s="128"/>
      <c r="AS570" s="128"/>
      <c r="AT570" s="128"/>
      <c r="AU570" s="1000"/>
      <c r="AV570" s="128"/>
      <c r="AW570" s="128"/>
      <c r="AX570" s="128"/>
      <c r="AY570" s="128"/>
      <c r="AZ570" s="1000"/>
      <c r="BA570" s="128"/>
      <c r="BB570" s="128"/>
      <c r="BC570" s="128"/>
      <c r="BD570" s="128"/>
      <c r="BE570" s="1000"/>
      <c r="BF570" s="128"/>
      <c r="BG570" s="128"/>
      <c r="BH570" s="465"/>
      <c r="BI570" s="128"/>
      <c r="BJ570" s="1000"/>
      <c r="BK570" s="128"/>
      <c r="BL570" s="128"/>
      <c r="BM570" s="128"/>
      <c r="BN570" s="128"/>
      <c r="BO570" s="1000"/>
      <c r="BP570" s="1000"/>
      <c r="BQ570" s="1000"/>
      <c r="BR570" s="1000"/>
      <c r="BS570" s="57"/>
    </row>
    <row r="571" spans="1:71" s="32" customFormat="1" ht="15" hidden="1" outlineLevel="2">
      <c r="A571" s="220" t="s">
        <v>593</v>
      </c>
      <c r="B571" s="234"/>
      <c r="C571" s="1035"/>
      <c r="D571" s="1035"/>
      <c r="E571" s="1035"/>
      <c r="F571" s="1035"/>
      <c r="G571" s="1035"/>
      <c r="H571" s="221"/>
      <c r="I571" s="221"/>
      <c r="J571" s="221"/>
      <c r="K571" s="221"/>
      <c r="L571" s="1035"/>
      <c r="M571" s="221"/>
      <c r="N571" s="221"/>
      <c r="O571" s="221"/>
      <c r="P571" s="221"/>
      <c r="Q571" s="1035"/>
      <c r="R571" s="221"/>
      <c r="S571" s="221"/>
      <c r="T571" s="221"/>
      <c r="U571" s="221"/>
      <c r="V571" s="1035"/>
      <c r="W571" s="221"/>
      <c r="X571" s="221"/>
      <c r="Y571" s="221"/>
      <c r="Z571" s="221"/>
      <c r="AA571" s="1035"/>
      <c r="AB571" s="54">
        <f>AB536/AB568*(AF$3/AB$3)</f>
        <v>0.044542471892129794</v>
      </c>
      <c r="AC571" s="54">
        <f>AC536/AC568*(AF$3/AC$3)</f>
        <v>0.047113491884216978</v>
      </c>
      <c r="AD571" s="54">
        <f>AD536/AD568*(AF$3/AD$3)</f>
        <v>0.045323404610337077</v>
      </c>
      <c r="AE571" s="54">
        <f>AE536/AE568*(AF$3/AE$3)</f>
        <v>0.044902341712479359</v>
      </c>
      <c r="AF571" s="1036">
        <f>AF536/AF568</f>
        <v>0.04547001365765526</v>
      </c>
      <c r="AG571" s="54">
        <f>AG536/AG568*(AK$3/AG$3)</f>
        <v>0.046770084499936936</v>
      </c>
      <c r="AH571" s="54">
        <f>AH536/AH568*(AK$3/AH$3)</f>
        <v>0.044398815707206232</v>
      </c>
      <c r="AI571" s="54">
        <f>AI536/AI568*(AK$3/AI$3)</f>
        <v>0.044024801643391571</v>
      </c>
      <c r="AJ571" s="54">
        <f>AJ536/AJ568*(AK$3/AJ$3)</f>
        <v>0.045024809213009422</v>
      </c>
      <c r="AK571" s="1036">
        <f>AK536/AK568</f>
        <v>0.045030876069081266</v>
      </c>
      <c r="AL571" s="54">
        <f>AL536/AL568*(AP$3/AL$3)</f>
        <v>0.043849340898018556</v>
      </c>
      <c r="AM571" s="54">
        <f>AM536/AM568*(AP$3/AM$3)</f>
        <v>0.041854841296442041</v>
      </c>
      <c r="AN571" s="54">
        <f>AN536/AN568*(AP$3/AN$3)</f>
        <v>0.040088979760488426</v>
      </c>
      <c r="AO571" s="54">
        <f>AO536/AO568*(AP$3/AO$3)</f>
        <v>0.041155531504432866</v>
      </c>
      <c r="AP571" s="1036">
        <f>AP536/AP568</f>
        <v>0.041707716376995697</v>
      </c>
      <c r="AQ571" s="221"/>
      <c r="AR571" s="221"/>
      <c r="AS571" s="221"/>
      <c r="AT571" s="221"/>
      <c r="AU571" s="1035"/>
      <c r="AV571" s="221"/>
      <c r="AW571" s="221"/>
      <c r="AX571" s="221"/>
      <c r="AY571" s="221"/>
      <c r="AZ571" s="1035"/>
      <c r="BA571" s="221"/>
      <c r="BB571" s="221"/>
      <c r="BC571" s="221"/>
      <c r="BD571" s="221"/>
      <c r="BE571" s="1035"/>
      <c r="BF571" s="221"/>
      <c r="BG571" s="221"/>
      <c r="BH571" s="757"/>
      <c r="BI571" s="221"/>
      <c r="BJ571" s="1035"/>
      <c r="BK571" s="221"/>
      <c r="BL571" s="221"/>
      <c r="BM571" s="221"/>
      <c r="BN571" s="221"/>
      <c r="BO571" s="1035"/>
      <c r="BP571" s="1035"/>
      <c r="BQ571" s="1035"/>
      <c r="BR571" s="1035"/>
      <c r="BS571" s="54"/>
    </row>
    <row r="572" spans="1:71" s="51" customFormat="1" ht="15" hidden="1" outlineLevel="1">
      <c r="A572" s="220"/>
      <c r="B572" s="391"/>
      <c r="C572" s="1000"/>
      <c r="D572" s="1000"/>
      <c r="E572" s="1000"/>
      <c r="F572" s="1000"/>
      <c r="G572" s="1000"/>
      <c r="H572" s="128"/>
      <c r="I572" s="128"/>
      <c r="J572" s="128"/>
      <c r="K572" s="128"/>
      <c r="L572" s="1000"/>
      <c r="M572" s="128"/>
      <c r="N572" s="128"/>
      <c r="O572" s="128"/>
      <c r="P572" s="128"/>
      <c r="Q572" s="1000"/>
      <c r="R572" s="128"/>
      <c r="S572" s="128"/>
      <c r="T572" s="128"/>
      <c r="U572" s="128"/>
      <c r="V572" s="1000"/>
      <c r="W572" s="128"/>
      <c r="X572" s="128"/>
      <c r="Y572" s="128"/>
      <c r="Z572" s="128"/>
      <c r="AA572" s="1000"/>
      <c r="AB572" s="128"/>
      <c r="AC572" s="128"/>
      <c r="AD572" s="128"/>
      <c r="AE572" s="128"/>
      <c r="AF572" s="1000"/>
      <c r="AG572" s="128"/>
      <c r="AH572" s="128"/>
      <c r="AI572" s="128"/>
      <c r="AJ572" s="128"/>
      <c r="AK572" s="1000"/>
      <c r="AL572" s="128"/>
      <c r="AM572" s="128"/>
      <c r="AN572" s="128"/>
      <c r="AO572" s="128"/>
      <c r="AP572" s="1000"/>
      <c r="AQ572" s="128"/>
      <c r="AR572" s="128"/>
      <c r="AS572" s="128"/>
      <c r="AT572" s="128"/>
      <c r="AU572" s="1000"/>
      <c r="AV572" s="128"/>
      <c r="AW572" s="128"/>
      <c r="AX572" s="128"/>
      <c r="AY572" s="128"/>
      <c r="AZ572" s="1000"/>
      <c r="BA572" s="128"/>
      <c r="BB572" s="128"/>
      <c r="BC572" s="128"/>
      <c r="BD572" s="128"/>
      <c r="BE572" s="1000"/>
      <c r="BF572" s="128"/>
      <c r="BG572" s="128"/>
      <c r="BH572" s="465"/>
      <c r="BI572" s="128"/>
      <c r="BJ572" s="1000"/>
      <c r="BK572" s="128"/>
      <c r="BL572" s="128"/>
      <c r="BM572" s="128"/>
      <c r="BN572" s="128"/>
      <c r="BO572" s="1000"/>
      <c r="BP572" s="1000"/>
      <c r="BQ572" s="1000"/>
      <c r="BR572" s="1000"/>
      <c r="BS572" s="57"/>
    </row>
    <row r="573" spans="1:71" s="17" customFormat="1" ht="15" hidden="1" outlineLevel="1">
      <c r="A573" s="818" t="s">
        <v>829</v>
      </c>
      <c r="B573" s="818"/>
      <c r="C573" s="837"/>
      <c r="D573" s="837"/>
      <c r="E573" s="837"/>
      <c r="F573" s="837"/>
      <c r="G573" s="837"/>
      <c r="H573" s="837"/>
      <c r="I573" s="837"/>
      <c r="J573" s="837"/>
      <c r="K573" s="837"/>
      <c r="L573" s="837"/>
      <c r="M573" s="837"/>
      <c r="N573" s="837"/>
      <c r="O573" s="837"/>
      <c r="P573" s="837"/>
      <c r="Q573" s="837"/>
      <c r="R573" s="837"/>
      <c r="S573" s="837"/>
      <c r="T573" s="837"/>
      <c r="U573" s="837"/>
      <c r="V573" s="837"/>
      <c r="W573" s="837"/>
      <c r="X573" s="837"/>
      <c r="Y573" s="837"/>
      <c r="Z573" s="837"/>
      <c r="AA573" s="837"/>
      <c r="AB573" s="837"/>
      <c r="AC573" s="837"/>
      <c r="AD573" s="837"/>
      <c r="AE573" s="837"/>
      <c r="AF573" s="837"/>
      <c r="AG573" s="837"/>
      <c r="AH573" s="837"/>
      <c r="AI573" s="837"/>
      <c r="AJ573" s="837"/>
      <c r="AK573" s="837"/>
      <c r="AL573" s="837"/>
      <c r="AM573" s="837"/>
      <c r="AN573" s="837"/>
      <c r="AO573" s="837"/>
      <c r="AP573" s="837"/>
      <c r="AQ573" s="837"/>
      <c r="AR573" s="837"/>
      <c r="AS573" s="837"/>
      <c r="AT573" s="837"/>
      <c r="AU573" s="837"/>
      <c r="AV573" s="837"/>
      <c r="AW573" s="837"/>
      <c r="AX573" s="837"/>
      <c r="AY573" s="837"/>
      <c r="AZ573" s="837"/>
      <c r="BA573" s="837"/>
      <c r="BB573" s="837"/>
      <c r="BC573" s="837"/>
      <c r="BD573" s="837"/>
      <c r="BE573" s="837"/>
      <c r="BF573" s="837"/>
      <c r="BG573" s="837"/>
      <c r="BH573" s="838"/>
      <c r="BI573" s="837"/>
      <c r="BJ573" s="837"/>
      <c r="BK573" s="837"/>
      <c r="BL573" s="837"/>
      <c r="BM573" s="837"/>
      <c r="BN573" s="837"/>
      <c r="BO573" s="837"/>
      <c r="BP573" s="837"/>
      <c r="BQ573" s="837"/>
      <c r="BR573" s="837"/>
      <c r="BS573" s="457"/>
    </row>
    <row r="574" spans="1:71" s="300" customFormat="1" ht="15" hidden="1" outlineLevel="2">
      <c r="A574" s="304" t="s">
        <v>567</v>
      </c>
      <c r="B574" s="233"/>
      <c r="C574" s="989"/>
      <c r="D574" s="989"/>
      <c r="E574" s="989"/>
      <c r="F574" s="989"/>
      <c r="G574" s="989"/>
      <c r="H574" s="92"/>
      <c r="I574" s="92"/>
      <c r="J574" s="92"/>
      <c r="K574" s="92"/>
      <c r="L574" s="989"/>
      <c r="M574" s="92"/>
      <c r="N574" s="92"/>
      <c r="O574" s="92"/>
      <c r="P574" s="92"/>
      <c r="Q574" s="988">
        <v>14</v>
      </c>
      <c r="R574" s="897">
        <v>3</v>
      </c>
      <c r="S574" s="897">
        <v>3</v>
      </c>
      <c r="T574" s="897">
        <v>4</v>
      </c>
      <c r="U574" s="305">
        <f>V574-SUM(R574,S574,T574)</f>
        <v>4</v>
      </c>
      <c r="V574" s="988">
        <v>14</v>
      </c>
      <c r="W574" s="897">
        <v>3</v>
      </c>
      <c r="X574" s="897">
        <v>3</v>
      </c>
      <c r="Y574" s="897">
        <v>4</v>
      </c>
      <c r="Z574" s="305">
        <f>AA574-SUM(W574,X574,Y574)</f>
        <v>4</v>
      </c>
      <c r="AA574" s="988">
        <v>14</v>
      </c>
      <c r="AB574" s="897">
        <v>3</v>
      </c>
      <c r="AC574" s="897">
        <v>3</v>
      </c>
      <c r="AD574" s="897">
        <v>5</v>
      </c>
      <c r="AE574" s="305">
        <f>AF574-SUM(AB574,AC574,AD574)</f>
        <v>4</v>
      </c>
      <c r="AF574" s="988">
        <v>15</v>
      </c>
      <c r="AG574" s="897">
        <v>3</v>
      </c>
      <c r="AH574" s="897">
        <v>4</v>
      </c>
      <c r="AI574" s="897">
        <v>3</v>
      </c>
      <c r="AJ574" s="305">
        <f>AK574-SUM(AG574,AH574,AI574)</f>
        <v>3</v>
      </c>
      <c r="AK574" s="988">
        <v>13</v>
      </c>
      <c r="AL574" s="897">
        <v>2</v>
      </c>
      <c r="AM574" s="897">
        <v>2</v>
      </c>
      <c r="AN574" s="897">
        <v>3</v>
      </c>
      <c r="AO574" s="305">
        <f>AP574-SUM(AL574,AM574,AN574)</f>
        <v>3</v>
      </c>
      <c r="AP574" s="988">
        <v>10</v>
      </c>
      <c r="AQ574" s="92"/>
      <c r="AR574" s="92"/>
      <c r="AS574" s="92"/>
      <c r="AT574" s="92"/>
      <c r="AU574" s="989"/>
      <c r="AV574" s="92"/>
      <c r="AW574" s="92"/>
      <c r="AX574" s="92"/>
      <c r="AY574" s="92"/>
      <c r="AZ574" s="989"/>
      <c r="BA574" s="92"/>
      <c r="BB574" s="92"/>
      <c r="BC574" s="92"/>
      <c r="BD574" s="92"/>
      <c r="BE574" s="989"/>
      <c r="BF574" s="92"/>
      <c r="BG574" s="92"/>
      <c r="BH574" s="464"/>
      <c r="BI574" s="92"/>
      <c r="BJ574" s="989"/>
      <c r="BK574" s="92"/>
      <c r="BL574" s="92"/>
      <c r="BM574" s="92"/>
      <c r="BN574" s="92"/>
      <c r="BO574" s="989"/>
      <c r="BP574" s="989"/>
      <c r="BQ574" s="989"/>
      <c r="BR574" s="989"/>
      <c r="BS574" s="305"/>
    </row>
    <row r="575" spans="1:71" s="300" customFormat="1" ht="15" hidden="1" outlineLevel="2">
      <c r="A575" s="304" t="s">
        <v>439</v>
      </c>
      <c r="B575" s="233"/>
      <c r="C575" s="989"/>
      <c r="D575" s="989"/>
      <c r="E575" s="989"/>
      <c r="F575" s="989"/>
      <c r="G575" s="989"/>
      <c r="H575" s="92"/>
      <c r="I575" s="92"/>
      <c r="J575" s="92"/>
      <c r="K575" s="92"/>
      <c r="L575" s="989"/>
      <c r="M575" s="92"/>
      <c r="N575" s="92"/>
      <c r="O575" s="92"/>
      <c r="P575" s="92"/>
      <c r="Q575" s="988">
        <v>1323</v>
      </c>
      <c r="R575" s="897">
        <v>281</v>
      </c>
      <c r="S575" s="897">
        <v>299</v>
      </c>
      <c r="T575" s="897">
        <v>289</v>
      </c>
      <c r="U575" s="305">
        <f>V575-SUM(R575,S575,T575)</f>
        <v>312</v>
      </c>
      <c r="V575" s="988">
        <v>1181</v>
      </c>
      <c r="W575" s="897">
        <v>289</v>
      </c>
      <c r="X575" s="897">
        <v>354</v>
      </c>
      <c r="Y575" s="897">
        <v>324</v>
      </c>
      <c r="Z575" s="305">
        <f>AA575-SUM(W575,X575,Y575)</f>
        <v>338</v>
      </c>
      <c r="AA575" s="988">
        <v>1305</v>
      </c>
      <c r="AB575" s="897">
        <v>290</v>
      </c>
      <c r="AC575" s="897">
        <v>293</v>
      </c>
      <c r="AD575" s="897">
        <v>260</v>
      </c>
      <c r="AE575" s="305">
        <f>AF575-SUM(AB575,AC575,AD575)</f>
        <v>253</v>
      </c>
      <c r="AF575" s="988">
        <v>1096</v>
      </c>
      <c r="AG575" s="897">
        <v>190</v>
      </c>
      <c r="AH575" s="897">
        <v>296</v>
      </c>
      <c r="AI575" s="897">
        <v>251</v>
      </c>
      <c r="AJ575" s="305">
        <f>AK575-SUM(AG575,AH575,AI575)</f>
        <v>180</v>
      </c>
      <c r="AK575" s="988">
        <v>917</v>
      </c>
      <c r="AL575" s="897">
        <v>47</v>
      </c>
      <c r="AM575" s="897">
        <v>66</v>
      </c>
      <c r="AN575" s="897">
        <v>245</v>
      </c>
      <c r="AO575" s="305">
        <f>AP575-SUM(AL575,AM575,AN575)</f>
        <v>403</v>
      </c>
      <c r="AP575" s="988">
        <v>761</v>
      </c>
      <c r="AQ575" s="92"/>
      <c r="AR575" s="92"/>
      <c r="AS575" s="92"/>
      <c r="AT575" s="92"/>
      <c r="AU575" s="989"/>
      <c r="AV575" s="92"/>
      <c r="AW575" s="92"/>
      <c r="AX575" s="92"/>
      <c r="AY575" s="92"/>
      <c r="AZ575" s="989"/>
      <c r="BA575" s="92"/>
      <c r="BB575" s="92"/>
      <c r="BC575" s="92"/>
      <c r="BD575" s="92"/>
      <c r="BE575" s="989"/>
      <c r="BF575" s="92"/>
      <c r="BG575" s="92"/>
      <c r="BH575" s="464"/>
      <c r="BI575" s="92"/>
      <c r="BJ575" s="989"/>
      <c r="BK575" s="92"/>
      <c r="BL575" s="92"/>
      <c r="BM575" s="92"/>
      <c r="BN575" s="92"/>
      <c r="BO575" s="989"/>
      <c r="BP575" s="989"/>
      <c r="BQ575" s="989"/>
      <c r="BR575" s="989"/>
      <c r="BS575" s="305"/>
    </row>
    <row r="576" spans="1:71" s="300" customFormat="1" ht="15" hidden="1" outlineLevel="2">
      <c r="A576" s="110" t="s">
        <v>560</v>
      </c>
      <c r="B576" s="113"/>
      <c r="C576" s="995"/>
      <c r="D576" s="995"/>
      <c r="E576" s="995"/>
      <c r="F576" s="995"/>
      <c r="G576" s="995"/>
      <c r="H576" s="115"/>
      <c r="I576" s="115"/>
      <c r="J576" s="115"/>
      <c r="K576" s="115"/>
      <c r="L576" s="995"/>
      <c r="M576" s="115"/>
      <c r="N576" s="115"/>
      <c r="O576" s="115"/>
      <c r="P576" s="115"/>
      <c r="Q576" s="990">
        <v>264</v>
      </c>
      <c r="R576" s="900">
        <v>-32</v>
      </c>
      <c r="S576" s="900">
        <v>3</v>
      </c>
      <c r="T576" s="900">
        <v>-10</v>
      </c>
      <c r="U576" s="58">
        <f>V576-SUM(R576,S576,T576)</f>
        <v>1</v>
      </c>
      <c r="V576" s="990">
        <v>-38</v>
      </c>
      <c r="W576" s="900">
        <v>-2</v>
      </c>
      <c r="X576" s="900">
        <v>-5</v>
      </c>
      <c r="Y576" s="900">
        <v>18</v>
      </c>
      <c r="Z576" s="58">
        <f>AA576-SUM(W576,X576,Y576)</f>
        <v>33</v>
      </c>
      <c r="AA576" s="990">
        <v>44</v>
      </c>
      <c r="AB576" s="900">
        <v>-29</v>
      </c>
      <c r="AC576" s="900">
        <v>6</v>
      </c>
      <c r="AD576" s="900">
        <v>51</v>
      </c>
      <c r="AE576" s="58">
        <f>AF576-SUM(AB576,AC576,AD576)</f>
        <v>-194</v>
      </c>
      <c r="AF576" s="990">
        <v>-166</v>
      </c>
      <c r="AG576" s="900">
        <v>156</v>
      </c>
      <c r="AH576" s="900">
        <v>48</v>
      </c>
      <c r="AI576" s="900">
        <v>20</v>
      </c>
      <c r="AJ576" s="58">
        <f>AK576-SUM(AG576,AH576,AI576)</f>
        <v>122</v>
      </c>
      <c r="AK576" s="990">
        <v>346</v>
      </c>
      <c r="AL576" s="900">
        <v>-269</v>
      </c>
      <c r="AM576" s="900">
        <v>245</v>
      </c>
      <c r="AN576" s="900">
        <v>112</v>
      </c>
      <c r="AO576" s="58">
        <f>AP576-SUM(AL576,AM576,AN576)</f>
        <v>191</v>
      </c>
      <c r="AP576" s="990">
        <v>279</v>
      </c>
      <c r="AQ576" s="115"/>
      <c r="AR576" s="115"/>
      <c r="AS576" s="115"/>
      <c r="AT576" s="115"/>
      <c r="AU576" s="995"/>
      <c r="AV576" s="115"/>
      <c r="AW576" s="115"/>
      <c r="AX576" s="115"/>
      <c r="AY576" s="115"/>
      <c r="AZ576" s="995"/>
      <c r="BA576" s="115"/>
      <c r="BB576" s="115"/>
      <c r="BC576" s="115"/>
      <c r="BD576" s="115"/>
      <c r="BE576" s="995"/>
      <c r="BF576" s="115"/>
      <c r="BG576" s="115"/>
      <c r="BH576" s="641"/>
      <c r="BI576" s="115"/>
      <c r="BJ576" s="995"/>
      <c r="BK576" s="115"/>
      <c r="BL576" s="115"/>
      <c r="BM576" s="115"/>
      <c r="BN576" s="115"/>
      <c r="BO576" s="995"/>
      <c r="BP576" s="995"/>
      <c r="BQ576" s="995"/>
      <c r="BR576" s="995"/>
      <c r="BS576" s="305"/>
    </row>
    <row r="577" spans="1:71" s="51" customFormat="1" ht="15" hidden="1" outlineLevel="2">
      <c r="A577" s="109" t="s">
        <v>558</v>
      </c>
      <c r="B577" s="391"/>
      <c r="C577" s="999">
        <f>SUM(C574:C576)</f>
        <v>0</v>
      </c>
      <c r="D577" s="999">
        <f>SUM(D574:D576)</f>
        <v>0</v>
      </c>
      <c r="E577" s="999">
        <f>SUM(E574:E576)</f>
        <v>0</v>
      </c>
      <c r="F577" s="999">
        <f>SUM(F574:F576)</f>
        <v>0</v>
      </c>
      <c r="G577" s="1000"/>
      <c r="H577" s="128"/>
      <c r="I577" s="128"/>
      <c r="J577" s="128"/>
      <c r="K577" s="128"/>
      <c r="L577" s="1000"/>
      <c r="M577" s="128"/>
      <c r="N577" s="128"/>
      <c r="O577" s="128"/>
      <c r="P577" s="128"/>
      <c r="Q577" s="999">
        <f t="shared" si="1904" ref="Q577:AL577">SUM(Q574:Q576)</f>
        <v>1601</v>
      </c>
      <c r="R577" s="57">
        <f t="shared" si="1904"/>
        <v>252</v>
      </c>
      <c r="S577" s="57">
        <f t="shared" si="1904"/>
        <v>305</v>
      </c>
      <c r="T577" s="57">
        <f t="shared" si="1904"/>
        <v>283</v>
      </c>
      <c r="U577" s="57">
        <f t="shared" si="1904"/>
        <v>317</v>
      </c>
      <c r="V577" s="999">
        <f t="shared" si="1904"/>
        <v>1157</v>
      </c>
      <c r="W577" s="57">
        <f t="shared" si="1904"/>
        <v>290</v>
      </c>
      <c r="X577" s="57">
        <f t="shared" si="1904"/>
        <v>352</v>
      </c>
      <c r="Y577" s="57">
        <f t="shared" si="1904"/>
        <v>346</v>
      </c>
      <c r="Z577" s="57">
        <f t="shared" si="1904"/>
        <v>375</v>
      </c>
      <c r="AA577" s="999">
        <f t="shared" si="1904"/>
        <v>1363</v>
      </c>
      <c r="AB577" s="57">
        <f t="shared" si="1904"/>
        <v>264</v>
      </c>
      <c r="AC577" s="57">
        <f t="shared" si="1904"/>
        <v>302</v>
      </c>
      <c r="AD577" s="57">
        <f t="shared" si="1904"/>
        <v>316</v>
      </c>
      <c r="AE577" s="57">
        <f t="shared" si="1904"/>
        <v>63</v>
      </c>
      <c r="AF577" s="999">
        <f t="shared" si="1904"/>
        <v>945</v>
      </c>
      <c r="AG577" s="57">
        <f t="shared" si="1904"/>
        <v>349</v>
      </c>
      <c r="AH577" s="57">
        <f t="shared" si="1904"/>
        <v>348</v>
      </c>
      <c r="AI577" s="57">
        <f t="shared" si="1904"/>
        <v>274</v>
      </c>
      <c r="AJ577" s="57">
        <f t="shared" si="1904"/>
        <v>305</v>
      </c>
      <c r="AK577" s="999">
        <f t="shared" si="1904"/>
        <v>1276</v>
      </c>
      <c r="AL577" s="57">
        <f t="shared" si="1904"/>
        <v>-220</v>
      </c>
      <c r="AM577" s="57">
        <f>SUM(AM574:AM576)</f>
        <v>313</v>
      </c>
      <c r="AN577" s="57">
        <f>SUM(AN574:AN576)</f>
        <v>360</v>
      </c>
      <c r="AO577" s="57">
        <f t="shared" si="1905" ref="AO577:AP577">SUM(AO574:AO576)</f>
        <v>597</v>
      </c>
      <c r="AP577" s="999">
        <f t="shared" si="1905"/>
        <v>1050</v>
      </c>
      <c r="AQ577" s="128"/>
      <c r="AR577" s="128"/>
      <c r="AS577" s="128"/>
      <c r="AT577" s="128"/>
      <c r="AU577" s="1000"/>
      <c r="AV577" s="128"/>
      <c r="AW577" s="128"/>
      <c r="AX577" s="128"/>
      <c r="AY577" s="128"/>
      <c r="AZ577" s="1000"/>
      <c r="BA577" s="128"/>
      <c r="BB577" s="128"/>
      <c r="BC577" s="128"/>
      <c r="BD577" s="128"/>
      <c r="BE577" s="1000"/>
      <c r="BF577" s="128"/>
      <c r="BG577" s="128"/>
      <c r="BH577" s="465"/>
      <c r="BI577" s="128"/>
      <c r="BJ577" s="1000"/>
      <c r="BK577" s="128"/>
      <c r="BL577" s="128"/>
      <c r="BM577" s="128"/>
      <c r="BN577" s="128"/>
      <c r="BO577" s="1000"/>
      <c r="BP577" s="1000"/>
      <c r="BQ577" s="1000"/>
      <c r="BR577" s="1000"/>
      <c r="BS577" s="57"/>
    </row>
    <row r="578" spans="1:71" s="300" customFormat="1" ht="15" hidden="1" outlineLevel="2">
      <c r="A578" s="304" t="s">
        <v>440</v>
      </c>
      <c r="B578" s="233"/>
      <c r="C578" s="989"/>
      <c r="D578" s="989"/>
      <c r="E578" s="989"/>
      <c r="F578" s="989"/>
      <c r="G578" s="989"/>
      <c r="H578" s="92"/>
      <c r="I578" s="92"/>
      <c r="J578" s="92"/>
      <c r="K578" s="92"/>
      <c r="L578" s="989"/>
      <c r="M578" s="92"/>
      <c r="N578" s="92"/>
      <c r="O578" s="92"/>
      <c r="P578" s="92"/>
      <c r="Q578" s="988">
        <v>-602</v>
      </c>
      <c r="R578" s="897">
        <v>-147</v>
      </c>
      <c r="S578" s="897">
        <v>-156</v>
      </c>
      <c r="T578" s="897">
        <v>-156</v>
      </c>
      <c r="U578" s="305">
        <f t="shared" si="1906" ref="U578:U583">V578-SUM(R578,S578,T578)</f>
        <v>-147</v>
      </c>
      <c r="V578" s="988">
        <v>-606</v>
      </c>
      <c r="W578" s="897">
        <v>-143</v>
      </c>
      <c r="X578" s="897">
        <v>-156</v>
      </c>
      <c r="Y578" s="897">
        <v>-141</v>
      </c>
      <c r="Z578" s="305">
        <f t="shared" si="1907" ref="Z578:Z583">AA578-SUM(W578,X578,Y578)</f>
        <v>-154</v>
      </c>
      <c r="AA578" s="988">
        <v>-594</v>
      </c>
      <c r="AB578" s="897">
        <v>-150</v>
      </c>
      <c r="AC578" s="897">
        <v>-145</v>
      </c>
      <c r="AD578" s="897">
        <v>-146</v>
      </c>
      <c r="AE578" s="305">
        <f t="shared" si="1908" ref="AE578:AE583">AF578-SUM(AB578,AC578,AD578)</f>
        <v>-128</v>
      </c>
      <c r="AF578" s="988">
        <v>-569</v>
      </c>
      <c r="AG578" s="897">
        <v>-138</v>
      </c>
      <c r="AH578" s="897">
        <v>-152</v>
      </c>
      <c r="AI578" s="897">
        <v>-150</v>
      </c>
      <c r="AJ578" s="305">
        <f t="shared" si="1909" ref="AJ578:AJ583">AK578-SUM(AG578,AH578,AI578)</f>
        <v>-143</v>
      </c>
      <c r="AK578" s="988">
        <v>-583</v>
      </c>
      <c r="AL578" s="897">
        <v>-148</v>
      </c>
      <c r="AM578" s="897">
        <v>-136</v>
      </c>
      <c r="AN578" s="897">
        <v>-351</v>
      </c>
      <c r="AO578" s="305">
        <f t="shared" si="1910" ref="AO578:AO583">AP578-SUM(AL578,AM578,AN578)</f>
        <v>-128</v>
      </c>
      <c r="AP578" s="988">
        <v>-763</v>
      </c>
      <c r="AQ578" s="92"/>
      <c r="AR578" s="92"/>
      <c r="AS578" s="92"/>
      <c r="AT578" s="92"/>
      <c r="AU578" s="989"/>
      <c r="AV578" s="92"/>
      <c r="AW578" s="92"/>
      <c r="AX578" s="92"/>
      <c r="AY578" s="92"/>
      <c r="AZ578" s="989"/>
      <c r="BA578" s="92"/>
      <c r="BB578" s="92"/>
      <c r="BC578" s="92"/>
      <c r="BD578" s="92"/>
      <c r="BE578" s="989"/>
      <c r="BF578" s="92"/>
      <c r="BG578" s="92"/>
      <c r="BH578" s="464"/>
      <c r="BI578" s="92"/>
      <c r="BJ578" s="989"/>
      <c r="BK578" s="92"/>
      <c r="BL578" s="92"/>
      <c r="BM578" s="92"/>
      <c r="BN578" s="92"/>
      <c r="BO578" s="989"/>
      <c r="BP578" s="989"/>
      <c r="BQ578" s="989"/>
      <c r="BR578" s="989"/>
      <c r="BS578" s="305"/>
    </row>
    <row r="579" spans="1:71" s="300" customFormat="1" ht="15" hidden="1" outlineLevel="2">
      <c r="A579" s="304" t="s">
        <v>441</v>
      </c>
      <c r="B579" s="233"/>
      <c r="C579" s="989"/>
      <c r="D579" s="989"/>
      <c r="E579" s="989"/>
      <c r="F579" s="989"/>
      <c r="G579" s="989"/>
      <c r="H579" s="92"/>
      <c r="I579" s="92"/>
      <c r="J579" s="92"/>
      <c r="K579" s="92"/>
      <c r="L579" s="989"/>
      <c r="M579" s="92"/>
      <c r="N579" s="92"/>
      <c r="O579" s="92"/>
      <c r="P579" s="92"/>
      <c r="Q579" s="988">
        <v>-443</v>
      </c>
      <c r="R579" s="897">
        <v>-111</v>
      </c>
      <c r="S579" s="897">
        <v>-104</v>
      </c>
      <c r="T579" s="897">
        <v>-102</v>
      </c>
      <c r="U579" s="305">
        <f t="shared" si="1906"/>
        <v>-88</v>
      </c>
      <c r="V579" s="988">
        <v>-405</v>
      </c>
      <c r="W579" s="897">
        <v>-95</v>
      </c>
      <c r="X579" s="897">
        <v>-95</v>
      </c>
      <c r="Y579" s="897">
        <v>-95</v>
      </c>
      <c r="Z579" s="305">
        <f t="shared" si="1907"/>
        <v>-88</v>
      </c>
      <c r="AA579" s="988">
        <v>-373</v>
      </c>
      <c r="AB579" s="897">
        <v>-83</v>
      </c>
      <c r="AC579" s="897">
        <v>-85</v>
      </c>
      <c r="AD579" s="897">
        <v>-83</v>
      </c>
      <c r="AE579" s="305">
        <f t="shared" si="1908"/>
        <v>-83</v>
      </c>
      <c r="AF579" s="988">
        <v>-334</v>
      </c>
      <c r="AG579" s="897">
        <v>-81</v>
      </c>
      <c r="AH579" s="897">
        <v>-78</v>
      </c>
      <c r="AI579" s="897">
        <v>-75</v>
      </c>
      <c r="AJ579" s="305">
        <f t="shared" si="1909"/>
        <v>-73</v>
      </c>
      <c r="AK579" s="988">
        <v>-307</v>
      </c>
      <c r="AL579" s="897">
        <v>-67</v>
      </c>
      <c r="AM579" s="897">
        <v>-77</v>
      </c>
      <c r="AN579" s="897">
        <v>-66</v>
      </c>
      <c r="AO579" s="305">
        <f t="shared" si="1910"/>
        <v>-66</v>
      </c>
      <c r="AP579" s="988">
        <v>-276</v>
      </c>
      <c r="AQ579" s="92"/>
      <c r="AR579" s="92"/>
      <c r="AS579" s="92"/>
      <c r="AT579" s="92"/>
      <c r="AU579" s="989"/>
      <c r="AV579" s="92"/>
      <c r="AW579" s="92"/>
      <c r="AX579" s="92"/>
      <c r="AY579" s="92"/>
      <c r="AZ579" s="989"/>
      <c r="BA579" s="92"/>
      <c r="BB579" s="92"/>
      <c r="BC579" s="92"/>
      <c r="BD579" s="92"/>
      <c r="BE579" s="989"/>
      <c r="BF579" s="92"/>
      <c r="BG579" s="92"/>
      <c r="BH579" s="464"/>
      <c r="BI579" s="92"/>
      <c r="BJ579" s="989"/>
      <c r="BK579" s="92"/>
      <c r="BL579" s="92"/>
      <c r="BM579" s="92"/>
      <c r="BN579" s="92"/>
      <c r="BO579" s="989"/>
      <c r="BP579" s="989"/>
      <c r="BQ579" s="989"/>
      <c r="BR579" s="989"/>
      <c r="BS579" s="305"/>
    </row>
    <row r="580" spans="1:71" s="300" customFormat="1" ht="15" hidden="1" outlineLevel="2">
      <c r="A580" s="304" t="s">
        <v>442</v>
      </c>
      <c r="B580" s="233"/>
      <c r="C580" s="989"/>
      <c r="D580" s="989"/>
      <c r="E580" s="989"/>
      <c r="F580" s="989"/>
      <c r="G580" s="989"/>
      <c r="H580" s="92"/>
      <c r="I580" s="92"/>
      <c r="J580" s="92"/>
      <c r="K580" s="92"/>
      <c r="L580" s="989"/>
      <c r="M580" s="92"/>
      <c r="N580" s="92"/>
      <c r="O580" s="92"/>
      <c r="P580" s="92"/>
      <c r="Q580" s="988">
        <v>-5</v>
      </c>
      <c r="R580" s="897">
        <v>-2</v>
      </c>
      <c r="S580" s="897">
        <v>-1</v>
      </c>
      <c r="T580" s="897">
        <v>-2</v>
      </c>
      <c r="U580" s="305">
        <f t="shared" si="1906"/>
        <v>-2</v>
      </c>
      <c r="V580" s="988">
        <v>-7</v>
      </c>
      <c r="W580" s="897">
        <v>-2</v>
      </c>
      <c r="X580" s="897">
        <v>-1</v>
      </c>
      <c r="Y580" s="897">
        <v>-2</v>
      </c>
      <c r="Z580" s="305">
        <f t="shared" si="1907"/>
        <v>-2</v>
      </c>
      <c r="AA580" s="988">
        <v>-7</v>
      </c>
      <c r="AB580" s="897">
        <v>-1</v>
      </c>
      <c r="AC580" s="897">
        <v>-2</v>
      </c>
      <c r="AD580" s="897">
        <v>-2</v>
      </c>
      <c r="AE580" s="305">
        <f t="shared" si="1908"/>
        <v>-2</v>
      </c>
      <c r="AF580" s="988">
        <v>-7</v>
      </c>
      <c r="AG580" s="897">
        <v>-2</v>
      </c>
      <c r="AH580" s="897">
        <v>-1</v>
      </c>
      <c r="AI580" s="897">
        <v>-2</v>
      </c>
      <c r="AJ580" s="305">
        <f t="shared" si="1909"/>
        <v>-2</v>
      </c>
      <c r="AK580" s="988">
        <v>-7</v>
      </c>
      <c r="AL580" s="897">
        <v>-2</v>
      </c>
      <c r="AM580" s="897">
        <v>-1</v>
      </c>
      <c r="AN580" s="897">
        <v>0</v>
      </c>
      <c r="AO580" s="305">
        <f t="shared" si="1910"/>
        <v>-1</v>
      </c>
      <c r="AP580" s="988">
        <v>-4</v>
      </c>
      <c r="AQ580" s="92"/>
      <c r="AR580" s="92"/>
      <c r="AS580" s="92"/>
      <c r="AT580" s="92"/>
      <c r="AU580" s="989"/>
      <c r="AV580" s="92"/>
      <c r="AW580" s="92"/>
      <c r="AX580" s="92"/>
      <c r="AY580" s="92"/>
      <c r="AZ580" s="989"/>
      <c r="BA580" s="92"/>
      <c r="BB580" s="92"/>
      <c r="BC580" s="92"/>
      <c r="BD580" s="92"/>
      <c r="BE580" s="989"/>
      <c r="BF580" s="92"/>
      <c r="BG580" s="92"/>
      <c r="BH580" s="464"/>
      <c r="BI580" s="92"/>
      <c r="BJ580" s="989"/>
      <c r="BK580" s="92"/>
      <c r="BL580" s="92"/>
      <c r="BM580" s="92"/>
      <c r="BN580" s="92"/>
      <c r="BO580" s="989"/>
      <c r="BP580" s="989"/>
      <c r="BQ580" s="989"/>
      <c r="BR580" s="989"/>
      <c r="BS580" s="305"/>
    </row>
    <row r="581" spans="1:71" s="300" customFormat="1" ht="15" hidden="1" outlineLevel="2">
      <c r="A581" s="304" t="s">
        <v>443</v>
      </c>
      <c r="B581" s="233"/>
      <c r="C581" s="989"/>
      <c r="D581" s="989"/>
      <c r="E581" s="989"/>
      <c r="F581" s="989"/>
      <c r="G581" s="989"/>
      <c r="H581" s="92"/>
      <c r="I581" s="92"/>
      <c r="J581" s="92"/>
      <c r="K581" s="92"/>
      <c r="L581" s="989"/>
      <c r="M581" s="92"/>
      <c r="N581" s="92"/>
      <c r="O581" s="92"/>
      <c r="P581" s="92"/>
      <c r="Q581" s="988">
        <v>-38</v>
      </c>
      <c r="R581" s="897">
        <v>-8</v>
      </c>
      <c r="S581" s="897">
        <v>-7</v>
      </c>
      <c r="T581" s="897">
        <v>-8</v>
      </c>
      <c r="U581" s="305">
        <f t="shared" si="1906"/>
        <v>-9</v>
      </c>
      <c r="V581" s="988">
        <v>-32</v>
      </c>
      <c r="W581" s="897">
        <v>-9</v>
      </c>
      <c r="X581" s="897">
        <v>-8</v>
      </c>
      <c r="Y581" s="897">
        <v>-9</v>
      </c>
      <c r="Z581" s="305">
        <f t="shared" si="1907"/>
        <v>-9</v>
      </c>
      <c r="AA581" s="988">
        <v>-35</v>
      </c>
      <c r="AB581" s="897">
        <v>-9</v>
      </c>
      <c r="AC581" s="897">
        <v>-9</v>
      </c>
      <c r="AD581" s="897">
        <v>-7</v>
      </c>
      <c r="AE581" s="305">
        <f t="shared" si="1908"/>
        <v>-6</v>
      </c>
      <c r="AF581" s="988">
        <v>-31</v>
      </c>
      <c r="AG581" s="897">
        <v>-7</v>
      </c>
      <c r="AH581" s="897">
        <v>-8</v>
      </c>
      <c r="AI581" s="897">
        <v>-7</v>
      </c>
      <c r="AJ581" s="305">
        <f t="shared" si="1909"/>
        <v>-7</v>
      </c>
      <c r="AK581" s="988">
        <v>-29</v>
      </c>
      <c r="AL581" s="897">
        <v>-6</v>
      </c>
      <c r="AM581" s="897">
        <v>-7</v>
      </c>
      <c r="AN581" s="897">
        <v>-6</v>
      </c>
      <c r="AO581" s="305">
        <f t="shared" si="1910"/>
        <v>-6</v>
      </c>
      <c r="AP581" s="988">
        <v>-25</v>
      </c>
      <c r="AQ581" s="92"/>
      <c r="AR581" s="92"/>
      <c r="AS581" s="92"/>
      <c r="AT581" s="92"/>
      <c r="AU581" s="989"/>
      <c r="AV581" s="92"/>
      <c r="AW581" s="92"/>
      <c r="AX581" s="92"/>
      <c r="AY581" s="92"/>
      <c r="AZ581" s="989"/>
      <c r="BA581" s="92"/>
      <c r="BB581" s="92"/>
      <c r="BC581" s="92"/>
      <c r="BD581" s="92"/>
      <c r="BE581" s="989"/>
      <c r="BF581" s="92"/>
      <c r="BG581" s="92"/>
      <c r="BH581" s="464"/>
      <c r="BI581" s="92"/>
      <c r="BJ581" s="989"/>
      <c r="BK581" s="92"/>
      <c r="BL581" s="92"/>
      <c r="BM581" s="92"/>
      <c r="BN581" s="92"/>
      <c r="BO581" s="989"/>
      <c r="BP581" s="989"/>
      <c r="BQ581" s="989"/>
      <c r="BR581" s="989"/>
      <c r="BS581" s="305"/>
    </row>
    <row r="582" spans="1:71" s="300" customFormat="1" ht="15" hidden="1" outlineLevel="2">
      <c r="A582" s="304" t="s">
        <v>444</v>
      </c>
      <c r="B582" s="233"/>
      <c r="C582" s="989"/>
      <c r="D582" s="989"/>
      <c r="E582" s="989"/>
      <c r="F582" s="989"/>
      <c r="G582" s="989"/>
      <c r="H582" s="92"/>
      <c r="I582" s="92"/>
      <c r="J582" s="92"/>
      <c r="K582" s="92"/>
      <c r="L582" s="989"/>
      <c r="M582" s="92"/>
      <c r="N582" s="92"/>
      <c r="O582" s="92"/>
      <c r="P582" s="92"/>
      <c r="Q582" s="988">
        <v>1</v>
      </c>
      <c r="R582" s="92"/>
      <c r="S582" s="92"/>
      <c r="T582" s="92"/>
      <c r="U582" s="305">
        <f t="shared" si="1906"/>
        <v>0</v>
      </c>
      <c r="V582" s="989"/>
      <c r="W582" s="92"/>
      <c r="X582" s="897">
        <v>-1</v>
      </c>
      <c r="Y582" s="897">
        <v>1</v>
      </c>
      <c r="Z582" s="305">
        <f t="shared" si="1907"/>
        <v>0</v>
      </c>
      <c r="AA582" s="989"/>
      <c r="AB582" s="92"/>
      <c r="AC582" s="92"/>
      <c r="AD582" s="92"/>
      <c r="AE582" s="305">
        <f t="shared" si="1908"/>
        <v>0</v>
      </c>
      <c r="AF582" s="988">
        <v>0</v>
      </c>
      <c r="AG582" s="92"/>
      <c r="AH582" s="92"/>
      <c r="AI582" s="92"/>
      <c r="AJ582" s="305">
        <f t="shared" si="1909"/>
        <v>-1</v>
      </c>
      <c r="AK582" s="988">
        <v>-1</v>
      </c>
      <c r="AL582" s="92"/>
      <c r="AM582" s="92"/>
      <c r="AN582" s="897">
        <v>-2</v>
      </c>
      <c r="AO582" s="305">
        <f t="shared" si="1910"/>
        <v>0</v>
      </c>
      <c r="AP582" s="988">
        <v>-2</v>
      </c>
      <c r="AQ582" s="92"/>
      <c r="AR582" s="92"/>
      <c r="AS582" s="92"/>
      <c r="AT582" s="92"/>
      <c r="AU582" s="989"/>
      <c r="AV582" s="92"/>
      <c r="AW582" s="92"/>
      <c r="AX582" s="92"/>
      <c r="AY582" s="92"/>
      <c r="AZ582" s="989"/>
      <c r="BA582" s="92"/>
      <c r="BB582" s="92"/>
      <c r="BC582" s="92"/>
      <c r="BD582" s="92"/>
      <c r="BE582" s="989"/>
      <c r="BF582" s="92"/>
      <c r="BG582" s="92"/>
      <c r="BH582" s="464"/>
      <c r="BI582" s="92"/>
      <c r="BJ582" s="989"/>
      <c r="BK582" s="92"/>
      <c r="BL582" s="92"/>
      <c r="BM582" s="92"/>
      <c r="BN582" s="92"/>
      <c r="BO582" s="989"/>
      <c r="BP582" s="989"/>
      <c r="BQ582" s="989"/>
      <c r="BR582" s="989"/>
      <c r="BS582" s="305"/>
    </row>
    <row r="583" spans="1:71" s="300" customFormat="1" ht="15" hidden="1" outlineLevel="2">
      <c r="A583" s="110" t="s">
        <v>562</v>
      </c>
      <c r="B583" s="113"/>
      <c r="C583" s="995"/>
      <c r="D583" s="995"/>
      <c r="E583" s="995"/>
      <c r="F583" s="995"/>
      <c r="G583" s="995"/>
      <c r="H583" s="115"/>
      <c r="I583" s="115"/>
      <c r="J583" s="115"/>
      <c r="K583" s="115"/>
      <c r="L583" s="995"/>
      <c r="M583" s="115"/>
      <c r="N583" s="115"/>
      <c r="O583" s="115"/>
      <c r="P583" s="115"/>
      <c r="Q583" s="990">
        <v>4</v>
      </c>
      <c r="R583" s="900">
        <v>2</v>
      </c>
      <c r="S583" s="900">
        <v>1</v>
      </c>
      <c r="T583" s="900">
        <v>1</v>
      </c>
      <c r="U583" s="58">
        <f t="shared" si="1906"/>
        <v>1</v>
      </c>
      <c r="V583" s="990">
        <v>5</v>
      </c>
      <c r="W583" s="900">
        <v>2</v>
      </c>
      <c r="X583" s="900">
        <v>2</v>
      </c>
      <c r="Y583" s="900">
        <v>1</v>
      </c>
      <c r="Z583" s="58">
        <f t="shared" si="1907"/>
        <v>1</v>
      </c>
      <c r="AA583" s="990">
        <v>6</v>
      </c>
      <c r="AB583" s="900">
        <v>1</v>
      </c>
      <c r="AC583" s="900">
        <v>2</v>
      </c>
      <c r="AD583" s="900">
        <v>1</v>
      </c>
      <c r="AE583" s="58">
        <f t="shared" si="1908"/>
        <v>2</v>
      </c>
      <c r="AF583" s="990">
        <v>6</v>
      </c>
      <c r="AG583" s="900">
        <v>1</v>
      </c>
      <c r="AH583" s="900">
        <v>2</v>
      </c>
      <c r="AI583" s="900">
        <v>0</v>
      </c>
      <c r="AJ583" s="58">
        <f t="shared" si="1909"/>
        <v>3</v>
      </c>
      <c r="AK583" s="990">
        <v>6</v>
      </c>
      <c r="AL583" s="900">
        <v>1</v>
      </c>
      <c r="AM583" s="900">
        <v>1</v>
      </c>
      <c r="AN583" s="900">
        <v>1</v>
      </c>
      <c r="AO583" s="58">
        <f t="shared" si="1910"/>
        <v>1</v>
      </c>
      <c r="AP583" s="990">
        <v>4</v>
      </c>
      <c r="AQ583" s="115"/>
      <c r="AR583" s="115"/>
      <c r="AS583" s="115"/>
      <c r="AT583" s="115"/>
      <c r="AU583" s="995"/>
      <c r="AV583" s="115"/>
      <c r="AW583" s="115"/>
      <c r="AX583" s="115"/>
      <c r="AY583" s="115"/>
      <c r="AZ583" s="995"/>
      <c r="BA583" s="115"/>
      <c r="BB583" s="115"/>
      <c r="BC583" s="115"/>
      <c r="BD583" s="115"/>
      <c r="BE583" s="995"/>
      <c r="BF583" s="115"/>
      <c r="BG583" s="115"/>
      <c r="BH583" s="641"/>
      <c r="BI583" s="115"/>
      <c r="BJ583" s="995"/>
      <c r="BK583" s="115"/>
      <c r="BL583" s="115"/>
      <c r="BM583" s="115"/>
      <c r="BN583" s="115"/>
      <c r="BO583" s="995"/>
      <c r="BP583" s="995"/>
      <c r="BQ583" s="995"/>
      <c r="BR583" s="995"/>
      <c r="BS583" s="305"/>
    </row>
    <row r="584" spans="1:71" s="51" customFormat="1" ht="15" hidden="1" outlineLevel="2">
      <c r="A584" s="109" t="s">
        <v>559</v>
      </c>
      <c r="B584" s="391"/>
      <c r="C584" s="999">
        <f>C577+SUM(C578:C583)</f>
        <v>0</v>
      </c>
      <c r="D584" s="999">
        <f>D577+SUM(D578:D583)</f>
        <v>0</v>
      </c>
      <c r="E584" s="999">
        <f>E577+SUM(E578:E583)</f>
        <v>0</v>
      </c>
      <c r="F584" s="999">
        <f>F577+SUM(F578:F583)</f>
        <v>0</v>
      </c>
      <c r="G584" s="1000"/>
      <c r="H584" s="128"/>
      <c r="I584" s="128"/>
      <c r="J584" s="128"/>
      <c r="K584" s="128"/>
      <c r="L584" s="1000"/>
      <c r="M584" s="128"/>
      <c r="N584" s="128"/>
      <c r="O584" s="128"/>
      <c r="P584" s="128"/>
      <c r="Q584" s="999">
        <f t="shared" si="1911" ref="Q584:AL584">Q577+SUM(Q578:Q583)</f>
        <v>518</v>
      </c>
      <c r="R584" s="57">
        <f t="shared" si="1911"/>
        <v>-14</v>
      </c>
      <c r="S584" s="57">
        <f t="shared" si="1911"/>
        <v>38</v>
      </c>
      <c r="T584" s="57">
        <f t="shared" si="1911"/>
        <v>16</v>
      </c>
      <c r="U584" s="57">
        <f t="shared" si="1911"/>
        <v>72</v>
      </c>
      <c r="V584" s="999">
        <f t="shared" si="1911"/>
        <v>112</v>
      </c>
      <c r="W584" s="57">
        <f t="shared" si="1911"/>
        <v>43</v>
      </c>
      <c r="X584" s="57">
        <f t="shared" si="1911"/>
        <v>93</v>
      </c>
      <c r="Y584" s="57">
        <f t="shared" si="1911"/>
        <v>101</v>
      </c>
      <c r="Z584" s="57">
        <f t="shared" si="1911"/>
        <v>123</v>
      </c>
      <c r="AA584" s="999">
        <f t="shared" si="1911"/>
        <v>360</v>
      </c>
      <c r="AB584" s="57">
        <f t="shared" si="1911"/>
        <v>22</v>
      </c>
      <c r="AC584" s="57">
        <f t="shared" si="1911"/>
        <v>63</v>
      </c>
      <c r="AD584" s="57">
        <f t="shared" si="1911"/>
        <v>79</v>
      </c>
      <c r="AE584" s="57">
        <f t="shared" si="1911"/>
        <v>-154</v>
      </c>
      <c r="AF584" s="999">
        <f t="shared" si="1911"/>
        <v>10</v>
      </c>
      <c r="AG584" s="57">
        <f t="shared" si="1911"/>
        <v>122</v>
      </c>
      <c r="AH584" s="57">
        <f t="shared" si="1911"/>
        <v>111</v>
      </c>
      <c r="AI584" s="57">
        <f t="shared" si="1911"/>
        <v>40</v>
      </c>
      <c r="AJ584" s="57">
        <f t="shared" si="1911"/>
        <v>82</v>
      </c>
      <c r="AK584" s="999">
        <f t="shared" si="1911"/>
        <v>355</v>
      </c>
      <c r="AL584" s="57">
        <f t="shared" si="1911"/>
        <v>-442</v>
      </c>
      <c r="AM584" s="57">
        <f>AM577+SUM(AM578:AM583)</f>
        <v>93</v>
      </c>
      <c r="AN584" s="57">
        <f>AN577+SUM(AN578:AN583)</f>
        <v>-64</v>
      </c>
      <c r="AO584" s="57">
        <f t="shared" si="1912" ref="AO584:AP584">AO577+SUM(AO578:AO583)</f>
        <v>397</v>
      </c>
      <c r="AP584" s="999">
        <f t="shared" si="1912"/>
        <v>-16</v>
      </c>
      <c r="AQ584" s="128"/>
      <c r="AR584" s="128"/>
      <c r="AS584" s="128"/>
      <c r="AT584" s="128"/>
      <c r="AU584" s="1000"/>
      <c r="AV584" s="128"/>
      <c r="AW584" s="128"/>
      <c r="AX584" s="128"/>
      <c r="AY584" s="128"/>
      <c r="AZ584" s="1000"/>
      <c r="BA584" s="128"/>
      <c r="BB584" s="128"/>
      <c r="BC584" s="128"/>
      <c r="BD584" s="128"/>
      <c r="BE584" s="1000"/>
      <c r="BF584" s="128"/>
      <c r="BG584" s="128"/>
      <c r="BH584" s="465"/>
      <c r="BI584" s="128"/>
      <c r="BJ584" s="1000"/>
      <c r="BK584" s="128"/>
      <c r="BL584" s="128"/>
      <c r="BM584" s="128"/>
      <c r="BN584" s="128"/>
      <c r="BO584" s="1000"/>
      <c r="BP584" s="1000"/>
      <c r="BQ584" s="1000"/>
      <c r="BR584" s="1000"/>
      <c r="BS584" s="57"/>
    </row>
    <row r="585" spans="1:71" s="300" customFormat="1" ht="15" hidden="1" outlineLevel="2">
      <c r="A585" s="304" t="s">
        <v>445</v>
      </c>
      <c r="B585" s="233"/>
      <c r="C585" s="989"/>
      <c r="D585" s="989"/>
      <c r="E585" s="989"/>
      <c r="F585" s="989"/>
      <c r="G585" s="989"/>
      <c r="H585" s="92"/>
      <c r="I585" s="92"/>
      <c r="J585" s="92"/>
      <c r="K585" s="92"/>
      <c r="L585" s="989"/>
      <c r="M585" s="92"/>
      <c r="N585" s="92"/>
      <c r="O585" s="92"/>
      <c r="P585" s="92"/>
      <c r="Q585" s="988">
        <v>-188</v>
      </c>
      <c r="R585" s="897">
        <v>5</v>
      </c>
      <c r="S585" s="897">
        <v>-12</v>
      </c>
      <c r="T585" s="897">
        <v>-4</v>
      </c>
      <c r="U585" s="305">
        <f>V585-SUM(R585,S585,T585)</f>
        <v>-25</v>
      </c>
      <c r="V585" s="988">
        <v>-36</v>
      </c>
      <c r="W585" s="897">
        <v>-14</v>
      </c>
      <c r="X585" s="897">
        <v>-32</v>
      </c>
      <c r="Y585" s="897">
        <v>-35</v>
      </c>
      <c r="Z585" s="305">
        <f>AA585-SUM(W585,X585,Y585)</f>
        <v>139</v>
      </c>
      <c r="AA585" s="988">
        <v>58</v>
      </c>
      <c r="AB585" s="897">
        <v>-5</v>
      </c>
      <c r="AC585" s="897">
        <v>-13</v>
      </c>
      <c r="AD585" s="897">
        <v>52</v>
      </c>
      <c r="AE585" s="305">
        <f>AF585-SUM(AB585,AC585,AD585)</f>
        <v>32</v>
      </c>
      <c r="AF585" s="988">
        <v>66</v>
      </c>
      <c r="AG585" s="897">
        <v>-25</v>
      </c>
      <c r="AH585" s="897">
        <v>-23</v>
      </c>
      <c r="AI585" s="897">
        <v>-9</v>
      </c>
      <c r="AJ585" s="305">
        <f>AK585-SUM(AG585,AH585,AI585)</f>
        <v>-16</v>
      </c>
      <c r="AK585" s="988">
        <v>-73</v>
      </c>
      <c r="AL585" s="897">
        <v>93</v>
      </c>
      <c r="AM585" s="897">
        <v>-15</v>
      </c>
      <c r="AN585" s="897">
        <v>13</v>
      </c>
      <c r="AO585" s="305">
        <f>AP585-SUM(AL585,AM585,AN585)</f>
        <v>-84</v>
      </c>
      <c r="AP585" s="988">
        <v>7</v>
      </c>
      <c r="AQ585" s="92"/>
      <c r="AR585" s="92"/>
      <c r="AS585" s="92"/>
      <c r="AT585" s="92"/>
      <c r="AU585" s="989"/>
      <c r="AV585" s="92"/>
      <c r="AW585" s="92"/>
      <c r="AX585" s="92"/>
      <c r="AY585" s="92"/>
      <c r="AZ585" s="989"/>
      <c r="BA585" s="92"/>
      <c r="BB585" s="92"/>
      <c r="BC585" s="92"/>
      <c r="BD585" s="92"/>
      <c r="BE585" s="989"/>
      <c r="BF585" s="92"/>
      <c r="BG585" s="92"/>
      <c r="BH585" s="464"/>
      <c r="BI585" s="92"/>
      <c r="BJ585" s="989"/>
      <c r="BK585" s="92"/>
      <c r="BL585" s="92"/>
      <c r="BM585" s="92"/>
      <c r="BN585" s="92"/>
      <c r="BO585" s="989"/>
      <c r="BP585" s="989"/>
      <c r="BQ585" s="989"/>
      <c r="BR585" s="989"/>
      <c r="BS585" s="305"/>
    </row>
    <row r="586" spans="1:71" s="51" customFormat="1" ht="15" hidden="1" outlineLevel="2">
      <c r="A586" s="87" t="s">
        <v>561</v>
      </c>
      <c r="B586" s="164"/>
      <c r="C586" s="996">
        <f t="shared" si="1913" ref="C586:AK586">SUM(C584:C585)</f>
        <v>0</v>
      </c>
      <c r="D586" s="996">
        <f t="shared" si="1913"/>
        <v>0</v>
      </c>
      <c r="E586" s="996">
        <f t="shared" si="1913"/>
        <v>0</v>
      </c>
      <c r="F586" s="996">
        <f t="shared" si="1913"/>
        <v>0</v>
      </c>
      <c r="G586" s="997"/>
      <c r="H586" s="90"/>
      <c r="I586" s="90"/>
      <c r="J586" s="90"/>
      <c r="K586" s="90"/>
      <c r="L586" s="997"/>
      <c r="M586" s="90"/>
      <c r="N586" s="90"/>
      <c r="O586" s="90"/>
      <c r="P586" s="90"/>
      <c r="Q586" s="996">
        <f t="shared" si="1913"/>
        <v>330</v>
      </c>
      <c r="R586" s="89">
        <f t="shared" si="1913"/>
        <v>-9</v>
      </c>
      <c r="S586" s="89">
        <f t="shared" si="1913"/>
        <v>26</v>
      </c>
      <c r="T586" s="89">
        <f t="shared" si="1913"/>
        <v>12</v>
      </c>
      <c r="U586" s="89">
        <f t="shared" si="1913"/>
        <v>47</v>
      </c>
      <c r="V586" s="996">
        <f t="shared" si="1913"/>
        <v>76</v>
      </c>
      <c r="W586" s="89">
        <f t="shared" si="1913"/>
        <v>29</v>
      </c>
      <c r="X586" s="89">
        <f t="shared" si="1913"/>
        <v>61</v>
      </c>
      <c r="Y586" s="89">
        <f t="shared" si="1913"/>
        <v>66</v>
      </c>
      <c r="Z586" s="89">
        <f t="shared" si="1913"/>
        <v>262</v>
      </c>
      <c r="AA586" s="996">
        <f t="shared" si="1913"/>
        <v>418</v>
      </c>
      <c r="AB586" s="89">
        <f t="shared" si="1913"/>
        <v>17</v>
      </c>
      <c r="AC586" s="89">
        <f t="shared" si="1913"/>
        <v>50</v>
      </c>
      <c r="AD586" s="89">
        <f t="shared" si="1913"/>
        <v>131</v>
      </c>
      <c r="AE586" s="89">
        <f t="shared" si="1913"/>
        <v>-122</v>
      </c>
      <c r="AF586" s="996">
        <f t="shared" si="1913"/>
        <v>76</v>
      </c>
      <c r="AG586" s="89">
        <f t="shared" si="1913"/>
        <v>97</v>
      </c>
      <c r="AH586" s="89">
        <f t="shared" si="1913"/>
        <v>88</v>
      </c>
      <c r="AI586" s="89">
        <f t="shared" si="1913"/>
        <v>31</v>
      </c>
      <c r="AJ586" s="89">
        <f t="shared" si="1913"/>
        <v>66</v>
      </c>
      <c r="AK586" s="996">
        <f t="shared" si="1913"/>
        <v>282</v>
      </c>
      <c r="AL586" s="89">
        <f>SUM(AL584:AL585)</f>
        <v>-349</v>
      </c>
      <c r="AM586" s="89">
        <f>SUM(AM584:AM585)</f>
        <v>78</v>
      </c>
      <c r="AN586" s="89">
        <f>SUM(AN584:AN585)</f>
        <v>-51</v>
      </c>
      <c r="AO586" s="89">
        <f t="shared" si="1914" ref="AO586:AP586">SUM(AO584:AO585)</f>
        <v>313</v>
      </c>
      <c r="AP586" s="996">
        <f t="shared" si="1914"/>
        <v>-9</v>
      </c>
      <c r="AQ586" s="90"/>
      <c r="AR586" s="90"/>
      <c r="AS586" s="90"/>
      <c r="AT586" s="90"/>
      <c r="AU586" s="997"/>
      <c r="AV586" s="90"/>
      <c r="AW586" s="90"/>
      <c r="AX586" s="90"/>
      <c r="AY586" s="90"/>
      <c r="AZ586" s="997"/>
      <c r="BA586" s="90"/>
      <c r="BB586" s="90"/>
      <c r="BC586" s="90"/>
      <c r="BD586" s="90"/>
      <c r="BE586" s="997"/>
      <c r="BF586" s="90"/>
      <c r="BG586" s="90"/>
      <c r="BH586" s="747"/>
      <c r="BI586" s="90"/>
      <c r="BJ586" s="997"/>
      <c r="BK586" s="90"/>
      <c r="BL586" s="90"/>
      <c r="BM586" s="90"/>
      <c r="BN586" s="90"/>
      <c r="BO586" s="997"/>
      <c r="BP586" s="997"/>
      <c r="BQ586" s="997"/>
      <c r="BR586" s="997"/>
      <c r="BS586" s="57"/>
    </row>
    <row r="587" spans="1:71" s="51" customFormat="1" ht="15" hidden="1" outlineLevel="2">
      <c r="A587" s="480"/>
      <c r="B587" s="391"/>
      <c r="C587" s="1000"/>
      <c r="D587" s="1000"/>
      <c r="E587" s="1000"/>
      <c r="F587" s="1000"/>
      <c r="G587" s="1000"/>
      <c r="H587" s="128"/>
      <c r="I587" s="128"/>
      <c r="J587" s="128"/>
      <c r="K587" s="128"/>
      <c r="L587" s="1000"/>
      <c r="M587" s="128"/>
      <c r="N587" s="128"/>
      <c r="O587" s="128"/>
      <c r="P587" s="128"/>
      <c r="Q587" s="1000"/>
      <c r="R587" s="128"/>
      <c r="S587" s="128"/>
      <c r="T587" s="128"/>
      <c r="U587" s="128"/>
      <c r="V587" s="1000"/>
      <c r="W587" s="128"/>
      <c r="X587" s="128"/>
      <c r="Y587" s="128"/>
      <c r="Z587" s="128"/>
      <c r="AA587" s="1000"/>
      <c r="AB587" s="128"/>
      <c r="AC587" s="128"/>
      <c r="AD587" s="128"/>
      <c r="AE587" s="128"/>
      <c r="AF587" s="1000"/>
      <c r="AG587" s="128"/>
      <c r="AH587" s="128"/>
      <c r="AI587" s="128"/>
      <c r="AJ587" s="128"/>
      <c r="AK587" s="1000"/>
      <c r="AL587" s="128"/>
      <c r="AM587" s="128"/>
      <c r="AN587" s="128"/>
      <c r="AO587" s="128"/>
      <c r="AP587" s="1000"/>
      <c r="AQ587" s="128"/>
      <c r="AR587" s="128"/>
      <c r="AS587" s="128"/>
      <c r="AT587" s="128"/>
      <c r="AU587" s="1000"/>
      <c r="AV587" s="128"/>
      <c r="AW587" s="128"/>
      <c r="AX587" s="128"/>
      <c r="AY587" s="128"/>
      <c r="AZ587" s="1000"/>
      <c r="BA587" s="128"/>
      <c r="BB587" s="128"/>
      <c r="BC587" s="128"/>
      <c r="BD587" s="128"/>
      <c r="BE587" s="1000"/>
      <c r="BF587" s="128"/>
      <c r="BG587" s="128"/>
      <c r="BH587" s="465"/>
      <c r="BI587" s="128"/>
      <c r="BJ587" s="1000"/>
      <c r="BK587" s="128"/>
      <c r="BL587" s="128"/>
      <c r="BM587" s="128"/>
      <c r="BN587" s="128"/>
      <c r="BO587" s="1000"/>
      <c r="BP587" s="1000"/>
      <c r="BQ587" s="1000"/>
      <c r="BR587" s="1000"/>
      <c r="BS587" s="57"/>
    </row>
    <row r="588" spans="1:71" s="17" customFormat="1" ht="15" hidden="1" outlineLevel="2">
      <c r="A588" s="818" t="s">
        <v>594</v>
      </c>
      <c r="B588" s="818"/>
      <c r="C588" s="837"/>
      <c r="D588" s="837"/>
      <c r="E588" s="837"/>
      <c r="F588" s="837"/>
      <c r="G588" s="837"/>
      <c r="H588" s="837"/>
      <c r="I588" s="837"/>
      <c r="J588" s="837"/>
      <c r="K588" s="837"/>
      <c r="L588" s="837"/>
      <c r="M588" s="837"/>
      <c r="N588" s="837"/>
      <c r="O588" s="837"/>
      <c r="P588" s="837"/>
      <c r="Q588" s="837"/>
      <c r="R588" s="837"/>
      <c r="S588" s="837"/>
      <c r="T588" s="837"/>
      <c r="U588" s="837"/>
      <c r="V588" s="837"/>
      <c r="W588" s="837"/>
      <c r="X588" s="837"/>
      <c r="Y588" s="837"/>
      <c r="Z588" s="837"/>
      <c r="AA588" s="837"/>
      <c r="AB588" s="837"/>
      <c r="AC588" s="837"/>
      <c r="AD588" s="837"/>
      <c r="AE588" s="837"/>
      <c r="AF588" s="837"/>
      <c r="AG588" s="837"/>
      <c r="AH588" s="837"/>
      <c r="AI588" s="837"/>
      <c r="AJ588" s="837"/>
      <c r="AK588" s="837"/>
      <c r="AL588" s="837"/>
      <c r="AM588" s="837"/>
      <c r="AN588" s="837"/>
      <c r="AO588" s="837"/>
      <c r="AP588" s="837"/>
      <c r="AQ588" s="837"/>
      <c r="AR588" s="837"/>
      <c r="AS588" s="837"/>
      <c r="AT588" s="837"/>
      <c r="AU588" s="837"/>
      <c r="AV588" s="837"/>
      <c r="AW588" s="837"/>
      <c r="AX588" s="837"/>
      <c r="AY588" s="837"/>
      <c r="AZ588" s="837"/>
      <c r="BA588" s="837"/>
      <c r="BB588" s="837"/>
      <c r="BC588" s="837"/>
      <c r="BD588" s="837"/>
      <c r="BE588" s="837"/>
      <c r="BF588" s="837"/>
      <c r="BG588" s="837"/>
      <c r="BH588" s="838"/>
      <c r="BI588" s="837"/>
      <c r="BJ588" s="837"/>
      <c r="BK588" s="837"/>
      <c r="BL588" s="837"/>
      <c r="BM588" s="837"/>
      <c r="BN588" s="837"/>
      <c r="BO588" s="837"/>
      <c r="BP588" s="837"/>
      <c r="BQ588" s="837"/>
      <c r="BR588" s="837"/>
      <c r="BS588" s="457"/>
    </row>
    <row r="589" spans="1:71" s="51" customFormat="1" ht="15" hidden="1" outlineLevel="2">
      <c r="A589" s="109" t="s">
        <v>557</v>
      </c>
      <c r="B589" s="391"/>
      <c r="C589" s="1000"/>
      <c r="D589" s="1000"/>
      <c r="E589" s="1000"/>
      <c r="F589" s="1000"/>
      <c r="G589" s="1000"/>
      <c r="H589" s="128"/>
      <c r="I589" s="128"/>
      <c r="J589" s="128"/>
      <c r="K589" s="128"/>
      <c r="L589" s="1000"/>
      <c r="M589" s="128"/>
      <c r="N589" s="128"/>
      <c r="O589" s="128"/>
      <c r="P589" s="128"/>
      <c r="Q589" s="1031">
        <v>14427</v>
      </c>
      <c r="R589" s="57">
        <f t="shared" si="1915" ref="R589:T589">Q591</f>
        <v>13070</v>
      </c>
      <c r="S589" s="57">
        <f t="shared" si="1915"/>
        <v>12836</v>
      </c>
      <c r="T589" s="57">
        <f t="shared" si="1915"/>
        <v>12560</v>
      </c>
      <c r="U589" s="57">
        <f>T591</f>
        <v>12259</v>
      </c>
      <c r="V589" s="999">
        <f>Q591</f>
        <v>13070</v>
      </c>
      <c r="W589" s="57">
        <f t="shared" si="1916" ref="W589:Y589">V591</f>
        <v>11915</v>
      </c>
      <c r="X589" s="57">
        <f t="shared" si="1916"/>
        <v>11669</v>
      </c>
      <c r="Y589" s="57">
        <f t="shared" si="1916"/>
        <v>11428</v>
      </c>
      <c r="Z589" s="57">
        <f>Y591</f>
        <v>11204</v>
      </c>
      <c r="AA589" s="999">
        <f>V591</f>
        <v>11915</v>
      </c>
      <c r="AB589" s="57">
        <f t="shared" si="1917" ref="AB589:AD589">AA591</f>
        <v>10936</v>
      </c>
      <c r="AC589" s="57">
        <f t="shared" si="1917"/>
        <v>10643</v>
      </c>
      <c r="AD589" s="57">
        <f t="shared" si="1917"/>
        <v>10359</v>
      </c>
      <c r="AE589" s="57">
        <f>AD591</f>
        <v>10098</v>
      </c>
      <c r="AF589" s="999">
        <f>AA591</f>
        <v>10936</v>
      </c>
      <c r="AG589" s="57">
        <f t="shared" si="1918" ref="AG589:AI589">AF591</f>
        <v>9817</v>
      </c>
      <c r="AH589" s="57">
        <f t="shared" si="1918"/>
        <v>9571</v>
      </c>
      <c r="AI589" s="57">
        <f t="shared" si="1918"/>
        <v>9347</v>
      </c>
      <c r="AJ589" s="57">
        <f>AI591</f>
        <v>9159</v>
      </c>
      <c r="AK589" s="999">
        <f>AF591</f>
        <v>9817</v>
      </c>
      <c r="AL589" s="57">
        <f>AK591</f>
        <v>8972</v>
      </c>
      <c r="AM589" s="57">
        <f>AL591</f>
        <v>8773</v>
      </c>
      <c r="AN589" s="57">
        <f>AM591</f>
        <v>8653</v>
      </c>
      <c r="AO589" s="57">
        <f>AN591</f>
        <v>8501</v>
      </c>
      <c r="AP589" s="999">
        <f>AK591</f>
        <v>8972</v>
      </c>
      <c r="AQ589" s="128"/>
      <c r="AR589" s="128"/>
      <c r="AS589" s="128"/>
      <c r="AT589" s="128"/>
      <c r="AU589" s="1000"/>
      <c r="AV589" s="128"/>
      <c r="AW589" s="128"/>
      <c r="AX589" s="128"/>
      <c r="AY589" s="128"/>
      <c r="AZ589" s="1000"/>
      <c r="BA589" s="128"/>
      <c r="BB589" s="128"/>
      <c r="BC589" s="128"/>
      <c r="BD589" s="128"/>
      <c r="BE589" s="1000"/>
      <c r="BF589" s="128"/>
      <c r="BG589" s="128"/>
      <c r="BH589" s="465"/>
      <c r="BI589" s="128"/>
      <c r="BJ589" s="1000"/>
      <c r="BK589" s="128"/>
      <c r="BL589" s="128"/>
      <c r="BM589" s="128"/>
      <c r="BN589" s="128"/>
      <c r="BO589" s="1000"/>
      <c r="BP589" s="1000"/>
      <c r="BQ589" s="1000"/>
      <c r="BR589" s="1000"/>
      <c r="BS589" s="57"/>
    </row>
    <row r="590" spans="1:71" s="300" customFormat="1" ht="15" hidden="1" outlineLevel="2">
      <c r="A590" s="110" t="s">
        <v>569</v>
      </c>
      <c r="B590" s="113"/>
      <c r="C590" s="995"/>
      <c r="D590" s="995"/>
      <c r="E590" s="995"/>
      <c r="F590" s="995"/>
      <c r="G590" s="995"/>
      <c r="H590" s="115"/>
      <c r="I590" s="115"/>
      <c r="J590" s="115"/>
      <c r="K590" s="115"/>
      <c r="L590" s="995"/>
      <c r="M590" s="115"/>
      <c r="N590" s="115"/>
      <c r="O590" s="115"/>
      <c r="P590" s="115"/>
      <c r="Q590" s="998">
        <f t="shared" si="1919" ref="Q590:AK590">Q591-Q589</f>
        <v>-1357</v>
      </c>
      <c r="R590" s="58">
        <f t="shared" si="1919"/>
        <v>-234</v>
      </c>
      <c r="S590" s="58">
        <f t="shared" si="1919"/>
        <v>-276</v>
      </c>
      <c r="T590" s="58">
        <f t="shared" si="1919"/>
        <v>-301</v>
      </c>
      <c r="U590" s="58">
        <f t="shared" si="1919"/>
        <v>-344</v>
      </c>
      <c r="V590" s="998">
        <f t="shared" si="1919"/>
        <v>-1155</v>
      </c>
      <c r="W590" s="58">
        <f t="shared" si="1919"/>
        <v>-246</v>
      </c>
      <c r="X590" s="58">
        <f t="shared" si="1919"/>
        <v>-241</v>
      </c>
      <c r="Y590" s="58">
        <f t="shared" si="1919"/>
        <v>-224</v>
      </c>
      <c r="Z590" s="58">
        <f t="shared" si="1919"/>
        <v>-268</v>
      </c>
      <c r="AA590" s="998">
        <f t="shared" si="1919"/>
        <v>-979</v>
      </c>
      <c r="AB590" s="58">
        <f t="shared" si="1919"/>
        <v>-293</v>
      </c>
      <c r="AC590" s="58">
        <f t="shared" si="1919"/>
        <v>-284</v>
      </c>
      <c r="AD590" s="58">
        <f t="shared" si="1919"/>
        <v>-261</v>
      </c>
      <c r="AE590" s="58">
        <f t="shared" si="1919"/>
        <v>-281</v>
      </c>
      <c r="AF590" s="998">
        <f t="shared" si="1919"/>
        <v>-1119</v>
      </c>
      <c r="AG590" s="58">
        <f t="shared" si="1919"/>
        <v>-246</v>
      </c>
      <c r="AH590" s="58">
        <f t="shared" si="1919"/>
        <v>-224</v>
      </c>
      <c r="AI590" s="58">
        <f t="shared" si="1919"/>
        <v>-188</v>
      </c>
      <c r="AJ590" s="58">
        <f t="shared" si="1919"/>
        <v>-187</v>
      </c>
      <c r="AK590" s="998">
        <f t="shared" si="1919"/>
        <v>-845</v>
      </c>
      <c r="AL590" s="58">
        <f>AL591-AL589</f>
        <v>-199</v>
      </c>
      <c r="AM590" s="58">
        <f>AM591-AM589</f>
        <v>-120</v>
      </c>
      <c r="AN590" s="58">
        <f>AN591-AN589</f>
        <v>-152</v>
      </c>
      <c r="AO590" s="58">
        <f t="shared" si="1920" ref="AO590:AP590">AO591-AO589</f>
        <v>-158</v>
      </c>
      <c r="AP590" s="998">
        <f t="shared" si="1920"/>
        <v>-629</v>
      </c>
      <c r="AQ590" s="115"/>
      <c r="AR590" s="115"/>
      <c r="AS590" s="115"/>
      <c r="AT590" s="115"/>
      <c r="AU590" s="995"/>
      <c r="AV590" s="115"/>
      <c r="AW590" s="115"/>
      <c r="AX590" s="115"/>
      <c r="AY590" s="115"/>
      <c r="AZ590" s="995"/>
      <c r="BA590" s="115"/>
      <c r="BB590" s="115"/>
      <c r="BC590" s="115"/>
      <c r="BD590" s="115"/>
      <c r="BE590" s="995"/>
      <c r="BF590" s="115"/>
      <c r="BG590" s="115"/>
      <c r="BH590" s="641"/>
      <c r="BI590" s="115"/>
      <c r="BJ590" s="995"/>
      <c r="BK590" s="115"/>
      <c r="BL590" s="115"/>
      <c r="BM590" s="115"/>
      <c r="BN590" s="115"/>
      <c r="BO590" s="995"/>
      <c r="BP590" s="995"/>
      <c r="BQ590" s="995"/>
      <c r="BR590" s="995"/>
      <c r="BS590" s="305"/>
    </row>
    <row r="591" spans="1:71" s="51" customFormat="1" ht="15" hidden="1" outlineLevel="2">
      <c r="A591" s="109" t="s">
        <v>570</v>
      </c>
      <c r="B591" s="391"/>
      <c r="C591" s="1000"/>
      <c r="D591" s="1000"/>
      <c r="E591" s="1000"/>
      <c r="F591" s="1000"/>
      <c r="G591" s="1000"/>
      <c r="H591" s="128"/>
      <c r="I591" s="128"/>
      <c r="J591" s="128"/>
      <c r="K591" s="128"/>
      <c r="L591" s="1000"/>
      <c r="M591" s="128"/>
      <c r="N591" s="128"/>
      <c r="O591" s="128"/>
      <c r="P591" s="128"/>
      <c r="Q591" s="1031">
        <v>13070</v>
      </c>
      <c r="R591" s="922">
        <v>12836</v>
      </c>
      <c r="S591" s="922">
        <v>12560</v>
      </c>
      <c r="T591" s="922">
        <v>12259</v>
      </c>
      <c r="U591" s="57">
        <f>V591</f>
        <v>11915</v>
      </c>
      <c r="V591" s="1031">
        <v>11915</v>
      </c>
      <c r="W591" s="922">
        <v>11669</v>
      </c>
      <c r="X591" s="922">
        <v>11428</v>
      </c>
      <c r="Y591" s="922">
        <v>11204</v>
      </c>
      <c r="Z591" s="57">
        <f>AA591</f>
        <v>10936</v>
      </c>
      <c r="AA591" s="1031">
        <v>10936</v>
      </c>
      <c r="AB591" s="922">
        <v>10643</v>
      </c>
      <c r="AC591" s="922">
        <v>10359</v>
      </c>
      <c r="AD591" s="922">
        <v>10098</v>
      </c>
      <c r="AE591" s="57">
        <f>AF591</f>
        <v>9817</v>
      </c>
      <c r="AF591" s="1031">
        <v>9817</v>
      </c>
      <c r="AG591" s="922">
        <v>9571</v>
      </c>
      <c r="AH591" s="922">
        <v>9347</v>
      </c>
      <c r="AI591" s="922">
        <v>9159</v>
      </c>
      <c r="AJ591" s="57">
        <f>AK591</f>
        <v>8972</v>
      </c>
      <c r="AK591" s="1031">
        <v>8972</v>
      </c>
      <c r="AL591" s="922">
        <v>8773</v>
      </c>
      <c r="AM591" s="922">
        <v>8653</v>
      </c>
      <c r="AN591" s="922">
        <v>8501</v>
      </c>
      <c r="AO591" s="57">
        <f>AP591</f>
        <v>8343</v>
      </c>
      <c r="AP591" s="1031">
        <v>8343</v>
      </c>
      <c r="AQ591" s="128"/>
      <c r="AR591" s="128"/>
      <c r="AS591" s="128"/>
      <c r="AT591" s="128"/>
      <c r="AU591" s="1000"/>
      <c r="AV591" s="128"/>
      <c r="AW591" s="128"/>
      <c r="AX591" s="128"/>
      <c r="AY591" s="128"/>
      <c r="AZ591" s="1000"/>
      <c r="BA591" s="128"/>
      <c r="BB591" s="128"/>
      <c r="BC591" s="128"/>
      <c r="BD591" s="128"/>
      <c r="BE591" s="1000"/>
      <c r="BF591" s="128"/>
      <c r="BG591" s="128"/>
      <c r="BH591" s="465"/>
      <c r="BI591" s="128"/>
      <c r="BJ591" s="1000"/>
      <c r="BK591" s="128"/>
      <c r="BL591" s="128"/>
      <c r="BM591" s="128"/>
      <c r="BN591" s="128"/>
      <c r="BO591" s="1000"/>
      <c r="BP591" s="1000"/>
      <c r="BQ591" s="1000"/>
      <c r="BR591" s="1000"/>
      <c r="BS591" s="57"/>
    </row>
    <row r="592" spans="1:71" s="51" customFormat="1" ht="15" hidden="1" outlineLevel="2">
      <c r="A592" s="109" t="s">
        <v>571</v>
      </c>
      <c r="B592" s="391"/>
      <c r="C592" s="1000"/>
      <c r="D592" s="1000"/>
      <c r="E592" s="1000"/>
      <c r="F592" s="1000"/>
      <c r="G592" s="1000"/>
      <c r="H592" s="128"/>
      <c r="I592" s="128"/>
      <c r="J592" s="128"/>
      <c r="K592" s="128"/>
      <c r="L592" s="1000"/>
      <c r="M592" s="128"/>
      <c r="N592" s="128"/>
      <c r="O592" s="128"/>
      <c r="P592" s="128"/>
      <c r="Q592" s="1000"/>
      <c r="R592" s="57">
        <f>AVERAGE(Q591,R591)</f>
        <v>12953</v>
      </c>
      <c r="S592" s="57">
        <f t="shared" si="1921" ref="S592:U592">AVERAGE(R591,S591)</f>
        <v>12698</v>
      </c>
      <c r="T592" s="57">
        <f t="shared" si="1921"/>
        <v>12409.50</v>
      </c>
      <c r="U592" s="57">
        <f t="shared" si="1921"/>
        <v>12087</v>
      </c>
      <c r="V592" s="999">
        <f>SUM(R592*R$3,S592*S$3,T592*T$3,U592*U$3)/SUM(R$3,S$3,T$3,U$3)</f>
        <v>12535.29781420765</v>
      </c>
      <c r="W592" s="57">
        <f>AVERAGE(V591,W591)</f>
        <v>11792</v>
      </c>
      <c r="X592" s="57">
        <f t="shared" si="1922" ref="X592">AVERAGE(W591,X591)</f>
        <v>11548.50</v>
      </c>
      <c r="Y592" s="57">
        <f t="shared" si="1923" ref="Y592">AVERAGE(X591,Y591)</f>
        <v>11316</v>
      </c>
      <c r="Z592" s="57">
        <f t="shared" si="1924" ref="Z592">AVERAGE(Y591,Z591)</f>
        <v>11070</v>
      </c>
      <c r="AA592" s="999">
        <f>SUM(W592*W$3,X592*X$3,Y592*Y$3,Z592*Z$3)/SUM(W$3,X$3,Y$3,Z$3)</f>
        <v>11429.330136986302</v>
      </c>
      <c r="AB592" s="57">
        <f>AVERAGE(AA591,AB591)</f>
        <v>10789.50</v>
      </c>
      <c r="AC592" s="57">
        <f t="shared" si="1925" ref="AC592">AVERAGE(AB591,AC591)</f>
        <v>10501</v>
      </c>
      <c r="AD592" s="57">
        <f t="shared" si="1926" ref="AD592">AVERAGE(AC591,AD591)</f>
        <v>10228.50</v>
      </c>
      <c r="AE592" s="57">
        <f t="shared" si="1927" ref="AE592">AVERAGE(AD591,AE591)</f>
        <v>9957.50</v>
      </c>
      <c r="AF592" s="999">
        <f>SUM(AB592*AB$3,AC592*AC$3,AD592*AD$3,AE592*AE$3)/SUM(AB$3,AC$3,AD$3,AE$3)</f>
        <v>10366.460273972603</v>
      </c>
      <c r="AG592" s="57">
        <f>AVERAGE(AF591,AG591)</f>
        <v>9694</v>
      </c>
      <c r="AH592" s="57">
        <f t="shared" si="1928" ref="AH592">AVERAGE(AG591,AH591)</f>
        <v>9459</v>
      </c>
      <c r="AI592" s="57">
        <f t="shared" si="1929" ref="AI592">AVERAGE(AH591,AI591)</f>
        <v>9253</v>
      </c>
      <c r="AJ592" s="57">
        <f t="shared" si="1930" ref="AJ592">AVERAGE(AI591,AJ591)</f>
        <v>9065.50</v>
      </c>
      <c r="AK592" s="999">
        <f>SUM(AG592*AG$3,AH592*AH$3,AI592*AI$3,AJ592*AJ$3)/SUM(AG$3,AH$3,AI$3,AJ$3)</f>
        <v>9365.8383561643841</v>
      </c>
      <c r="AL592" s="57">
        <f>AVERAGE(AK591,AL591)</f>
        <v>8872.50</v>
      </c>
      <c r="AM592" s="57">
        <f>AVERAGE(AL591,AM591)</f>
        <v>8713</v>
      </c>
      <c r="AN592" s="57">
        <f>AVERAGE(AM591,AN591)</f>
        <v>8577</v>
      </c>
      <c r="AO592" s="57">
        <f t="shared" si="1931" ref="AO592">AVERAGE(AN591,AO591)</f>
        <v>8422</v>
      </c>
      <c r="AP592" s="999">
        <f>SUM(AL592*AL$3,AM592*AM$3,AN592*AN$3,AO592*AO$3)/SUM(AL$3,AM$3,AN$3,AO$3)</f>
        <v>8645.3237704918029</v>
      </c>
      <c r="AQ592" s="128"/>
      <c r="AR592" s="128"/>
      <c r="AS592" s="128"/>
      <c r="AT592" s="128"/>
      <c r="AU592" s="1000"/>
      <c r="AV592" s="128"/>
      <c r="AW592" s="128"/>
      <c r="AX592" s="128"/>
      <c r="AY592" s="128"/>
      <c r="AZ592" s="1000"/>
      <c r="BA592" s="128"/>
      <c r="BB592" s="128"/>
      <c r="BC592" s="128"/>
      <c r="BD592" s="128"/>
      <c r="BE592" s="1000"/>
      <c r="BF592" s="128"/>
      <c r="BG592" s="128"/>
      <c r="BH592" s="465"/>
      <c r="BI592" s="128"/>
      <c r="BJ592" s="1000"/>
      <c r="BK592" s="128"/>
      <c r="BL592" s="128"/>
      <c r="BM592" s="128"/>
      <c r="BN592" s="128"/>
      <c r="BO592" s="1000"/>
      <c r="BP592" s="1000"/>
      <c r="BQ592" s="1000"/>
      <c r="BR592" s="1000"/>
      <c r="BS592" s="57"/>
    </row>
    <row r="593" spans="1:71" s="29" customFormat="1" ht="15" hidden="1" outlineLevel="2">
      <c r="A593" s="42" t="s">
        <v>574</v>
      </c>
      <c r="B593" s="232"/>
      <c r="C593" s="1025"/>
      <c r="D593" s="1025"/>
      <c r="E593" s="1025"/>
      <c r="F593" s="1025"/>
      <c r="G593" s="1025"/>
      <c r="H593" s="650"/>
      <c r="I593" s="650"/>
      <c r="J593" s="650"/>
      <c r="K593" s="650"/>
      <c r="L593" s="1025"/>
      <c r="M593" s="650"/>
      <c r="N593" s="650"/>
      <c r="O593" s="650"/>
      <c r="P593" s="650"/>
      <c r="Q593" s="1025"/>
      <c r="R593" s="650"/>
      <c r="S593" s="650"/>
      <c r="T593" s="650"/>
      <c r="U593" s="650"/>
      <c r="V593" s="1033">
        <f t="shared" si="1932" ref="V593:AK593">V591/Q591-1</f>
        <v>-0.088370313695485869</v>
      </c>
      <c r="W593" s="649">
        <f t="shared" si="1932"/>
        <v>-0.09091617326269863</v>
      </c>
      <c r="X593" s="649">
        <f t="shared" si="1932"/>
        <v>-0.090127388535031883</v>
      </c>
      <c r="Y593" s="649">
        <f t="shared" si="1932"/>
        <v>-0.086059221796231378</v>
      </c>
      <c r="Z593" s="649">
        <f t="shared" si="1932"/>
        <v>-0.082165337809483874</v>
      </c>
      <c r="AA593" s="1033">
        <f t="shared" si="1932"/>
        <v>-0.082165337809483874</v>
      </c>
      <c r="AB593" s="649">
        <f t="shared" si="1932"/>
        <v>-0.087925272088439477</v>
      </c>
      <c r="AC593" s="649">
        <f t="shared" si="1932"/>
        <v>-0.093542177108855484</v>
      </c>
      <c r="AD593" s="649">
        <f t="shared" si="1932"/>
        <v>-0.09871474473402353</v>
      </c>
      <c r="AE593" s="649">
        <f t="shared" si="1932"/>
        <v>-0.10232260424286754</v>
      </c>
      <c r="AF593" s="1033">
        <f t="shared" si="1932"/>
        <v>-0.10232260424286754</v>
      </c>
      <c r="AG593" s="649">
        <f t="shared" si="1932"/>
        <v>-0.10072348022174205</v>
      </c>
      <c r="AH593" s="649">
        <f t="shared" si="1932"/>
        <v>-0.097692827493001233</v>
      </c>
      <c r="AI593" s="649">
        <f t="shared" si="1932"/>
        <v>-0.092988710635769412</v>
      </c>
      <c r="AJ593" s="649">
        <f t="shared" si="1932"/>
        <v>-0.08607517571559542</v>
      </c>
      <c r="AK593" s="1033">
        <f t="shared" si="1932"/>
        <v>-0.08607517571559542</v>
      </c>
      <c r="AL593" s="649">
        <f>AL591/AG591-1</f>
        <v>-0.083376867620938211</v>
      </c>
      <c r="AM593" s="649">
        <f>AM591/AH591-1</f>
        <v>-0.074248421953567956</v>
      </c>
      <c r="AN593" s="649">
        <f>AN591/AI591-1</f>
        <v>-0.071841904138006285</v>
      </c>
      <c r="AO593" s="649">
        <f t="shared" si="1933" ref="AO593:AP593">AO591/AJ591-1</f>
        <v>-0.070106999554168548</v>
      </c>
      <c r="AP593" s="1033">
        <f t="shared" si="1933"/>
        <v>-0.070106999554168548</v>
      </c>
      <c r="AQ593" s="650"/>
      <c r="AR593" s="650"/>
      <c r="AS593" s="650"/>
      <c r="AT593" s="650"/>
      <c r="AU593" s="1025"/>
      <c r="AV593" s="650"/>
      <c r="AW593" s="650"/>
      <c r="AX593" s="650"/>
      <c r="AY593" s="650"/>
      <c r="AZ593" s="1025"/>
      <c r="BA593" s="650"/>
      <c r="BB593" s="650"/>
      <c r="BC593" s="650"/>
      <c r="BD593" s="650"/>
      <c r="BE593" s="1025"/>
      <c r="BF593" s="650"/>
      <c r="BG593" s="650"/>
      <c r="BH593" s="752"/>
      <c r="BI593" s="650"/>
      <c r="BJ593" s="1025"/>
      <c r="BK593" s="650"/>
      <c r="BL593" s="650"/>
      <c r="BM593" s="650"/>
      <c r="BN593" s="650"/>
      <c r="BO593" s="1025"/>
      <c r="BP593" s="1025"/>
      <c r="BQ593" s="1025"/>
      <c r="BR593" s="1025"/>
      <c r="BS593" s="649"/>
    </row>
    <row r="594" spans="1:71" s="51" customFormat="1" ht="15" hidden="1" outlineLevel="2">
      <c r="A594" s="480"/>
      <c r="B594" s="391"/>
      <c r="C594" s="1000"/>
      <c r="D594" s="1000"/>
      <c r="E594" s="1000"/>
      <c r="F594" s="1000"/>
      <c r="G594" s="1000"/>
      <c r="H594" s="128"/>
      <c r="I594" s="128"/>
      <c r="J594" s="128"/>
      <c r="K594" s="128"/>
      <c r="L594" s="1000"/>
      <c r="M594" s="128"/>
      <c r="N594" s="128"/>
      <c r="O594" s="128"/>
      <c r="P594" s="128"/>
      <c r="Q594" s="1000"/>
      <c r="R594" s="128"/>
      <c r="S594" s="128"/>
      <c r="T594" s="128"/>
      <c r="U594" s="128"/>
      <c r="V594" s="1000"/>
      <c r="W594" s="128"/>
      <c r="X594" s="128"/>
      <c r="Y594" s="128"/>
      <c r="Z594" s="128"/>
      <c r="AA594" s="1000"/>
      <c r="AB594" s="128"/>
      <c r="AC594" s="128"/>
      <c r="AD594" s="128"/>
      <c r="AE594" s="128"/>
      <c r="AF594" s="1000"/>
      <c r="AG594" s="128"/>
      <c r="AH594" s="128"/>
      <c r="AI594" s="128"/>
      <c r="AJ594" s="128"/>
      <c r="AK594" s="1000"/>
      <c r="AL594" s="128"/>
      <c r="AM594" s="128"/>
      <c r="AN594" s="128"/>
      <c r="AO594" s="128"/>
      <c r="AP594" s="1000"/>
      <c r="AQ594" s="128"/>
      <c r="AR594" s="128"/>
      <c r="AS594" s="128"/>
      <c r="AT594" s="128"/>
      <c r="AU594" s="1000"/>
      <c r="AV594" s="128"/>
      <c r="AW594" s="128"/>
      <c r="AX594" s="128"/>
      <c r="AY594" s="128"/>
      <c r="AZ594" s="1000"/>
      <c r="BA594" s="128"/>
      <c r="BB594" s="128"/>
      <c r="BC594" s="128"/>
      <c r="BD594" s="128"/>
      <c r="BE594" s="1000"/>
      <c r="BF594" s="128"/>
      <c r="BG594" s="128"/>
      <c r="BH594" s="465"/>
      <c r="BI594" s="128"/>
      <c r="BJ594" s="1000"/>
      <c r="BK594" s="128"/>
      <c r="BL594" s="128"/>
      <c r="BM594" s="128"/>
      <c r="BN594" s="128"/>
      <c r="BO594" s="1000"/>
      <c r="BP594" s="1000"/>
      <c r="BQ594" s="1000"/>
      <c r="BR594" s="1000"/>
      <c r="BS594" s="57"/>
    </row>
    <row r="595" spans="1:71" s="412" customFormat="1" ht="15" hidden="1" outlineLevel="2">
      <c r="A595" s="409" t="s">
        <v>572</v>
      </c>
      <c r="B595" s="499"/>
      <c r="C595" s="1043"/>
      <c r="D595" s="1043"/>
      <c r="E595" s="1043"/>
      <c r="F595" s="1043"/>
      <c r="G595" s="1043"/>
      <c r="H595" s="500"/>
      <c r="I595" s="500"/>
      <c r="J595" s="500"/>
      <c r="K595" s="500"/>
      <c r="L595" s="1043"/>
      <c r="M595" s="500"/>
      <c r="N595" s="500"/>
      <c r="O595" s="500"/>
      <c r="P595" s="500"/>
      <c r="Q595" s="1043"/>
      <c r="R595" s="411">
        <f>R574/R592*(V$3/R$3)</f>
        <v>0.00093151656496055476</v>
      </c>
      <c r="S595" s="411">
        <f>S574/S592*(V$3/S$3)</f>
        <v>0.00095022318994598097</v>
      </c>
      <c r="T595" s="411">
        <f>T574/T592*(V$3/T$3)</f>
        <v>0.0012823275295749924</v>
      </c>
      <c r="U595" s="411">
        <f>U574/U592*(V$3/U$3)</f>
        <v>0.0013165420268272416</v>
      </c>
      <c r="V595" s="1044">
        <f t="shared" si="1934" ref="V595:AK595">V574/V592</f>
        <v>0.0011168462215658123</v>
      </c>
      <c r="W595" s="411">
        <f>W574/W592*(AA$3/W$3)</f>
        <v>0.0010317729534147443</v>
      </c>
      <c r="X595" s="411">
        <f>X574/X592*(AA$3/X$3)</f>
        <v>0.0010419506457953007</v>
      </c>
      <c r="Y595" s="411">
        <f>Y574/Y592*(AA$3/Y$3)</f>
        <v>0.0014024006024559302</v>
      </c>
      <c r="Z595" s="411">
        <f>Z574/Z592*(AA$3/Z$3)</f>
        <v>0.0014335650602882841</v>
      </c>
      <c r="AA595" s="1044">
        <f t="shared" si="1934"/>
        <v>0.0012249186813402815</v>
      </c>
      <c r="AB595" s="411">
        <f>AB574/AB592*(AF$3/AB$3)</f>
        <v>0.0011276395260824566</v>
      </c>
      <c r="AC595" s="411">
        <f>AC574/AC592*(AF$3/AC$3)</f>
        <v>0.0011458877281179921</v>
      </c>
      <c r="AD595" s="411">
        <f>AD574/AD592*(AF$3/AD$3)</f>
        <v>0.0019393808008739436</v>
      </c>
      <c r="AE595" s="411">
        <f>AE574/AE592*(AF$3/AE$3)</f>
        <v>0.0015937298737023653</v>
      </c>
      <c r="AF595" s="1044">
        <f t="shared" si="1934"/>
        <v>0.0014469741458095363</v>
      </c>
      <c r="AG595" s="411">
        <f>AG574/AG592*(AK$3/AG$3)</f>
        <v>0.0012550718657588886</v>
      </c>
      <c r="AH595" s="411">
        <f>AH574/AH592*(AK$3/AH$3)</f>
        <v>0.0016961577380226285</v>
      </c>
      <c r="AI595" s="411">
        <f>AI574/AI592*(AK$3/AI$3)</f>
        <v>0.0012863043243319439</v>
      </c>
      <c r="AJ595" s="411">
        <f>AJ574/AJ592*(AK$3/AJ$3)</f>
        <v>0.0013129087102800154</v>
      </c>
      <c r="AK595" s="1044">
        <f t="shared" si="1934"/>
        <v>0.0013880231011507574</v>
      </c>
      <c r="AL595" s="411">
        <f>AL574/AL592*(AP$3/AL$3)</f>
        <v>0.00090661662935542905</v>
      </c>
      <c r="AM595" s="411">
        <f>AM574/AM592*(AP$3/AM$3)</f>
        <v>0.00092321313485091742</v>
      </c>
      <c r="AN595" s="411">
        <f>AN574/AN592*(AP$3/AN$3)</f>
        <v>0.001391486837903189</v>
      </c>
      <c r="AO595" s="411">
        <f>AO574/AO592*(AP$3/AO$3)</f>
        <v>0.001417096011481317</v>
      </c>
      <c r="AP595" s="1044">
        <f t="shared" si="1935" ref="AP595">AP574/AP592</f>
        <v>0.0011566946785882069</v>
      </c>
      <c r="AQ595" s="500"/>
      <c r="AR595" s="500"/>
      <c r="AS595" s="500"/>
      <c r="AT595" s="500"/>
      <c r="AU595" s="1043"/>
      <c r="AV595" s="500"/>
      <c r="AW595" s="500"/>
      <c r="AX595" s="500"/>
      <c r="AY595" s="500"/>
      <c r="AZ595" s="1043"/>
      <c r="BA595" s="500"/>
      <c r="BB595" s="500"/>
      <c r="BC595" s="500"/>
      <c r="BD595" s="500"/>
      <c r="BE595" s="1043"/>
      <c r="BF595" s="500"/>
      <c r="BG595" s="500"/>
      <c r="BH595" s="763"/>
      <c r="BI595" s="500"/>
      <c r="BJ595" s="1043"/>
      <c r="BK595" s="500"/>
      <c r="BL595" s="500"/>
      <c r="BM595" s="500"/>
      <c r="BN595" s="500"/>
      <c r="BO595" s="1043"/>
      <c r="BP595" s="1043"/>
      <c r="BQ595" s="1043"/>
      <c r="BR595" s="1043"/>
      <c r="BS595" s="411"/>
    </row>
    <row r="596" spans="1:71" s="51" customFormat="1" ht="15" hidden="1" outlineLevel="2">
      <c r="A596" s="480"/>
      <c r="B596" s="391"/>
      <c r="C596" s="1000"/>
      <c r="D596" s="1000"/>
      <c r="E596" s="1000"/>
      <c r="F596" s="1000"/>
      <c r="G596" s="1000"/>
      <c r="H596" s="128"/>
      <c r="I596" s="128"/>
      <c r="J596" s="128"/>
      <c r="K596" s="128"/>
      <c r="L596" s="1000"/>
      <c r="M596" s="128"/>
      <c r="N596" s="128"/>
      <c r="O596" s="128"/>
      <c r="P596" s="128"/>
      <c r="Q596" s="1000"/>
      <c r="R596" s="128"/>
      <c r="S596" s="128"/>
      <c r="T596" s="128"/>
      <c r="U596" s="128"/>
      <c r="V596" s="1000"/>
      <c r="W596" s="128"/>
      <c r="X596" s="128"/>
      <c r="Y596" s="128"/>
      <c r="Z596" s="128"/>
      <c r="AA596" s="1000"/>
      <c r="AB596" s="128"/>
      <c r="AC596" s="128"/>
      <c r="AD596" s="128"/>
      <c r="AE596" s="128"/>
      <c r="AF596" s="1000"/>
      <c r="AG596" s="128"/>
      <c r="AH596" s="128"/>
      <c r="AI596" s="128"/>
      <c r="AJ596" s="128"/>
      <c r="AK596" s="1000"/>
      <c r="AL596" s="128"/>
      <c r="AM596" s="128"/>
      <c r="AN596" s="128"/>
      <c r="AO596" s="128"/>
      <c r="AP596" s="1000"/>
      <c r="AQ596" s="128"/>
      <c r="AR596" s="128"/>
      <c r="AS596" s="128"/>
      <c r="AT596" s="128"/>
      <c r="AU596" s="1000"/>
      <c r="AV596" s="128"/>
      <c r="AW596" s="128"/>
      <c r="AX596" s="128"/>
      <c r="AY596" s="128"/>
      <c r="AZ596" s="1000"/>
      <c r="BA596" s="128"/>
      <c r="BB596" s="128"/>
      <c r="BC596" s="128"/>
      <c r="BD596" s="128"/>
      <c r="BE596" s="1000"/>
      <c r="BF596" s="128"/>
      <c r="BG596" s="128"/>
      <c r="BH596" s="465"/>
      <c r="BI596" s="128"/>
      <c r="BJ596" s="1000"/>
      <c r="BK596" s="128"/>
      <c r="BL596" s="128"/>
      <c r="BM596" s="128"/>
      <c r="BN596" s="128"/>
      <c r="BO596" s="1000"/>
      <c r="BP596" s="1000"/>
      <c r="BQ596" s="1000"/>
      <c r="BR596" s="1000"/>
      <c r="BS596" s="57"/>
    </row>
    <row r="597" spans="1:71" s="32" customFormat="1" ht="15" hidden="1" outlineLevel="2">
      <c r="A597" s="41" t="s">
        <v>905</v>
      </c>
      <c r="B597" s="234"/>
      <c r="C597" s="1035"/>
      <c r="D597" s="1035"/>
      <c r="E597" s="1035"/>
      <c r="F597" s="1035"/>
      <c r="G597" s="1035"/>
      <c r="H597" s="221"/>
      <c r="I597" s="221"/>
      <c r="J597" s="221"/>
      <c r="K597" s="221"/>
      <c r="L597" s="1035"/>
      <c r="M597" s="221"/>
      <c r="N597" s="221"/>
      <c r="O597" s="221"/>
      <c r="P597" s="221"/>
      <c r="Q597" s="1035"/>
      <c r="R597" s="54">
        <f>-R578/R592*(V$3/R$3)</f>
        <v>0.045644311683067186</v>
      </c>
      <c r="S597" s="54">
        <f>-S578/S592*(V$3/S$3)</f>
        <v>0.049411605877191005</v>
      </c>
      <c r="T597" s="54">
        <f>-T578/T592*(V$3/T$3)</f>
        <v>0.050010773653424705</v>
      </c>
      <c r="U597" s="54">
        <f>-U578/U592*(V$3/U$3)</f>
        <v>0.048382919485901128</v>
      </c>
      <c r="V597" s="1036">
        <f t="shared" si="1936" ref="V597:AK597">-V578/V592</f>
        <v>0.048343486447777306</v>
      </c>
      <c r="W597" s="54">
        <f>-W578/W592*(AA$3/W$3)</f>
        <v>0.049181177446102821</v>
      </c>
      <c r="X597" s="54">
        <f>-X578/X592*(AA$3/X$3)</f>
        <v>0.054181433581355652</v>
      </c>
      <c r="Y597" s="54">
        <f>-Y578/Y592*(AA$3/Y$3)</f>
        <v>0.049434621236571531</v>
      </c>
      <c r="Z597" s="54">
        <f>-Z578/Z592*(AA$3/Z$3)</f>
        <v>0.055192254821098935</v>
      </c>
      <c r="AA597" s="1036">
        <f t="shared" si="1936"/>
        <v>0.051971549765437657</v>
      </c>
      <c r="AB597" s="54">
        <f>-AB578/AB592*(AF$3/AB$3)</f>
        <v>0.056381976304122831</v>
      </c>
      <c r="AC597" s="54">
        <f>-AC578/AC592*(AF$3/AC$3)</f>
        <v>0.055384573525702939</v>
      </c>
      <c r="AD597" s="54">
        <f>-AD578/AD592*(AF$3/AD$3)</f>
        <v>0.056629919385519152</v>
      </c>
      <c r="AE597" s="54">
        <f>-AE578/AE592*(AF$3/AE$3)</f>
        <v>0.050999355958475691</v>
      </c>
      <c r="AF597" s="1036">
        <f t="shared" si="1936"/>
        <v>0.054888552597708411</v>
      </c>
      <c r="AG597" s="54">
        <f>-AG578/AG592*(AK$3/AG$3)</f>
        <v>0.057733305824908876</v>
      </c>
      <c r="AH597" s="54">
        <f>-AH578/AH592*(AK$3/AH$3)</f>
        <v>0.06445399404485988</v>
      </c>
      <c r="AI597" s="54">
        <f>-AI578/AI592*(AK$3/AI$3)</f>
        <v>0.064315216216597207</v>
      </c>
      <c r="AJ597" s="54">
        <f>-AJ578/AJ592*(AK$3/AJ$3)</f>
        <v>0.062581981856680735</v>
      </c>
      <c r="AK597" s="1036">
        <f t="shared" si="1936"/>
        <v>0.062247497536222426</v>
      </c>
      <c r="AL597" s="54">
        <f>-AL578/AL592*(AP$3/AL$3)</f>
        <v>0.067089630572301745</v>
      </c>
      <c r="AM597" s="54">
        <f>-AM578/AM592*(AP$3/AM$3)</f>
        <v>0.062778493169862393</v>
      </c>
      <c r="AN597" s="54">
        <f>-AN578/AN592*(AP$3/AN$3)</f>
        <v>0.16280396003467312</v>
      </c>
      <c r="AO597" s="54">
        <f>-AO578/AO592*(AP$3/AO$3)</f>
        <v>0.060462763156536196</v>
      </c>
      <c r="AP597" s="1036">
        <f t="shared" si="1937" ref="AP597">-AP578/AP592</f>
        <v>0.088255803976280175</v>
      </c>
      <c r="AQ597" s="221"/>
      <c r="AR597" s="221"/>
      <c r="AS597" s="221"/>
      <c r="AT597" s="221"/>
      <c r="AU597" s="1035"/>
      <c r="AV597" s="221"/>
      <c r="AW597" s="221"/>
      <c r="AX597" s="221"/>
      <c r="AY597" s="221"/>
      <c r="AZ597" s="1035"/>
      <c r="BA597" s="221"/>
      <c r="BB597" s="221"/>
      <c r="BC597" s="221"/>
      <c r="BD597" s="221"/>
      <c r="BE597" s="1035"/>
      <c r="BF597" s="221"/>
      <c r="BG597" s="221"/>
      <c r="BH597" s="757"/>
      <c r="BI597" s="221"/>
      <c r="BJ597" s="1035"/>
      <c r="BK597" s="221"/>
      <c r="BL597" s="221"/>
      <c r="BM597" s="221"/>
      <c r="BN597" s="221"/>
      <c r="BO597" s="1035"/>
      <c r="BP597" s="1035"/>
      <c r="BQ597" s="1035"/>
      <c r="BR597" s="1035"/>
      <c r="BS597" s="54"/>
    </row>
    <row r="598" spans="1:71" s="32" customFormat="1" ht="15" hidden="1" outlineLevel="2">
      <c r="A598" s="41" t="s">
        <v>573</v>
      </c>
      <c r="B598" s="234"/>
      <c r="C598" s="1035"/>
      <c r="D598" s="1035"/>
      <c r="E598" s="1035"/>
      <c r="F598" s="1035"/>
      <c r="G598" s="1035"/>
      <c r="H598" s="221"/>
      <c r="I598" s="221"/>
      <c r="J598" s="221"/>
      <c r="K598" s="221"/>
      <c r="L598" s="1035"/>
      <c r="M598" s="221"/>
      <c r="N598" s="221"/>
      <c r="O598" s="221"/>
      <c r="P598" s="221"/>
      <c r="Q598" s="1035"/>
      <c r="R598" s="54">
        <f>-R579/R592*(V$3/R$3)</f>
        <v>0.034466112903540527</v>
      </c>
      <c r="S598" s="54">
        <f>-S579/S592*(V$3/S$3)</f>
        <v>0.032941070584794008</v>
      </c>
      <c r="T598" s="54">
        <f>-T579/T592*(V$3/T$3)</f>
        <v>0.03269935200416231</v>
      </c>
      <c r="U598" s="54">
        <f>-U579/U592*(V$3/U$3)</f>
        <v>0.028963924590199315</v>
      </c>
      <c r="V598" s="1036">
        <f t="shared" si="1938" ref="V598:AK598">-V579/V592</f>
        <v>0.032308765695296712</v>
      </c>
      <c r="W598" s="54">
        <f>-W579/W592*(AA$3/W$3)</f>
        <v>0.032672810191466908</v>
      </c>
      <c r="X598" s="54">
        <f>-X579/X592*(AA$3/X$3)</f>
        <v>0.03299510378351786</v>
      </c>
      <c r="Y598" s="54">
        <f>-Y579/Y592*(AA$3/Y$3)</f>
        <v>0.033307014308328338</v>
      </c>
      <c r="Z598" s="54">
        <f>-Z579/Z592*(AA$3/Z$3)</f>
        <v>0.031538431326342251</v>
      </c>
      <c r="AA598" s="1036">
        <f t="shared" si="1938"/>
        <v>0.032635333438566075</v>
      </c>
      <c r="AB598" s="54">
        <f>-AB579/AB592*(AF$3/AB$3)</f>
        <v>0.031198026888281299</v>
      </c>
      <c r="AC598" s="54">
        <f>-AC579/AC592*(AF$3/AC$3)</f>
        <v>0.032466818963343101</v>
      </c>
      <c r="AD598" s="54">
        <f>-AD579/AD592*(AF$3/AD$3)</f>
        <v>0.032193721294507462</v>
      </c>
      <c r="AE598" s="54">
        <f>-AE579/AE592*(AF$3/AE$3)</f>
        <v>0.033069894879324081</v>
      </c>
      <c r="AF598" s="1036">
        <f t="shared" si="1938"/>
        <v>0.032219290980025676</v>
      </c>
      <c r="AG598" s="54">
        <f>-AG579/AG592*(AK$3/AG$3)</f>
        <v>0.033886940375489991</v>
      </c>
      <c r="AH598" s="54">
        <f>-AH579/AH592*(AK$3/AH$3)</f>
        <v>0.033075075891441257</v>
      </c>
      <c r="AI598" s="54">
        <f>-AI579/AI592*(AK$3/AI$3)</f>
        <v>0.032157608108298603</v>
      </c>
      <c r="AJ598" s="54">
        <f>-AJ579/AJ592*(AK$3/AJ$3)</f>
        <v>0.031947445283480369</v>
      </c>
      <c r="AK598" s="1036">
        <f t="shared" si="1938"/>
        <v>0.032778699388714042</v>
      </c>
      <c r="AL598" s="54">
        <f>-AL579/AL592*(AP$3/AL$3)</f>
        <v>0.030371657083406872</v>
      </c>
      <c r="AM598" s="54">
        <f>-AM579/AM592*(AP$3/AM$3)</f>
        <v>0.035543705691760324</v>
      </c>
      <c r="AN598" s="54">
        <f>-AN579/AN592*(AP$3/AN$3)</f>
        <v>0.03061271043387016</v>
      </c>
      <c r="AO598" s="54">
        <f>-AO579/AO592*(AP$3/AO$3)</f>
        <v>0.031176112252588973</v>
      </c>
      <c r="AP598" s="1036">
        <f t="shared" si="1939" ref="AP598">-AP579/AP592</f>
        <v>0.031924773129034509</v>
      </c>
      <c r="AQ598" s="221"/>
      <c r="AR598" s="221"/>
      <c r="AS598" s="221"/>
      <c r="AT598" s="221"/>
      <c r="AU598" s="1035"/>
      <c r="AV598" s="221"/>
      <c r="AW598" s="221"/>
      <c r="AX598" s="221"/>
      <c r="AY598" s="221"/>
      <c r="AZ598" s="1035"/>
      <c r="BA598" s="221"/>
      <c r="BB598" s="221"/>
      <c r="BC598" s="221"/>
      <c r="BD598" s="221"/>
      <c r="BE598" s="1035"/>
      <c r="BF598" s="221"/>
      <c r="BG598" s="221"/>
      <c r="BH598" s="757"/>
      <c r="BI598" s="221"/>
      <c r="BJ598" s="1035"/>
      <c r="BK598" s="221"/>
      <c r="BL598" s="221"/>
      <c r="BM598" s="221"/>
      <c r="BN598" s="221"/>
      <c r="BO598" s="1035"/>
      <c r="BP598" s="1035"/>
      <c r="BQ598" s="1035"/>
      <c r="BR598" s="1035"/>
      <c r="BS598" s="54"/>
    </row>
    <row r="599" spans="1:71" s="51" customFormat="1" ht="15" hidden="1" outlineLevel="2">
      <c r="A599" s="480"/>
      <c r="B599" s="391"/>
      <c r="C599" s="1000"/>
      <c r="D599" s="1000"/>
      <c r="E599" s="1000"/>
      <c r="F599" s="1000"/>
      <c r="G599" s="1000"/>
      <c r="H599" s="128"/>
      <c r="I599" s="128"/>
      <c r="J599" s="128"/>
      <c r="K599" s="128"/>
      <c r="L599" s="1000"/>
      <c r="M599" s="128"/>
      <c r="N599" s="128"/>
      <c r="O599" s="128"/>
      <c r="P599" s="128"/>
      <c r="Q599" s="1000"/>
      <c r="R599" s="128"/>
      <c r="S599" s="128"/>
      <c r="T599" s="128"/>
      <c r="U599" s="128"/>
      <c r="V599" s="1000"/>
      <c r="W599" s="128"/>
      <c r="X599" s="128"/>
      <c r="Y599" s="128"/>
      <c r="Z599" s="128"/>
      <c r="AA599" s="1000"/>
      <c r="AB599" s="128"/>
      <c r="AC599" s="128"/>
      <c r="AD599" s="128"/>
      <c r="AE599" s="128"/>
      <c r="AF599" s="1000"/>
      <c r="AG599" s="128"/>
      <c r="AH599" s="128"/>
      <c r="AI599" s="128"/>
      <c r="AJ599" s="128"/>
      <c r="AK599" s="1000"/>
      <c r="AL599" s="128"/>
      <c r="AM599" s="128"/>
      <c r="AN599" s="128"/>
      <c r="AO599" s="128"/>
      <c r="AP599" s="1000"/>
      <c r="AQ599" s="128"/>
      <c r="AR599" s="128"/>
      <c r="AS599" s="128"/>
      <c r="AT599" s="128"/>
      <c r="AU599" s="1000"/>
      <c r="AV599" s="128"/>
      <c r="AW599" s="128"/>
      <c r="AX599" s="128"/>
      <c r="AY599" s="128"/>
      <c r="AZ599" s="1000"/>
      <c r="BA599" s="128"/>
      <c r="BB599" s="128"/>
      <c r="BC599" s="128"/>
      <c r="BD599" s="128"/>
      <c r="BE599" s="1000"/>
      <c r="BF599" s="128"/>
      <c r="BG599" s="128"/>
      <c r="BH599" s="465"/>
      <c r="BI599" s="128"/>
      <c r="BJ599" s="1000"/>
      <c r="BK599" s="128"/>
      <c r="BL599" s="128"/>
      <c r="BM599" s="128"/>
      <c r="BN599" s="128"/>
      <c r="BO599" s="1000"/>
      <c r="BP599" s="1000"/>
      <c r="BQ599" s="1000"/>
      <c r="BR599" s="1000"/>
      <c r="BS599" s="57"/>
    </row>
    <row r="600" spans="1:71" s="51" customFormat="1" ht="15" hidden="1" outlineLevel="2">
      <c r="A600" s="109" t="s">
        <v>582</v>
      </c>
      <c r="B600" s="391"/>
      <c r="C600" s="1000"/>
      <c r="D600" s="1000"/>
      <c r="E600" s="1000"/>
      <c r="F600" s="1000"/>
      <c r="G600" s="1000"/>
      <c r="H600" s="128"/>
      <c r="I600" s="128"/>
      <c r="J600" s="128"/>
      <c r="K600" s="128"/>
      <c r="L600" s="1000"/>
      <c r="M600" s="128"/>
      <c r="N600" s="128"/>
      <c r="O600" s="128"/>
      <c r="P600" s="128"/>
      <c r="Q600" s="1000"/>
      <c r="R600" s="128"/>
      <c r="S600" s="128"/>
      <c r="T600" s="128"/>
      <c r="U600" s="128"/>
      <c r="V600" s="1000"/>
      <c r="W600" s="128"/>
      <c r="X600" s="128"/>
      <c r="Y600" s="128"/>
      <c r="Z600" s="128"/>
      <c r="AA600" s="1000"/>
      <c r="AB600" s="57">
        <f t="shared" si="1940" ref="AB600">AA602</f>
        <v>23722</v>
      </c>
      <c r="AC600" s="57">
        <f t="shared" si="1941" ref="AC600">AB602</f>
        <v>23230</v>
      </c>
      <c r="AD600" s="57">
        <f t="shared" si="1942" ref="AD600">AC602</f>
        <v>22812</v>
      </c>
      <c r="AE600" s="57">
        <f>AD602</f>
        <v>22537</v>
      </c>
      <c r="AF600" s="999">
        <f>AA602</f>
        <v>23722</v>
      </c>
      <c r="AG600" s="57">
        <f t="shared" si="1943" ref="AG600">AF602</f>
        <v>22336</v>
      </c>
      <c r="AH600" s="57">
        <f t="shared" si="1944" ref="AH600">AG602</f>
        <v>22523</v>
      </c>
      <c r="AI600" s="57">
        <f t="shared" si="1945" ref="AI600">AH602</f>
        <v>22765</v>
      </c>
      <c r="AJ600" s="57">
        <f>AI602</f>
        <v>22718</v>
      </c>
      <c r="AK600" s="999">
        <f>AF602</f>
        <v>22336</v>
      </c>
      <c r="AL600" s="57">
        <f>AK602</f>
        <v>22221</v>
      </c>
      <c r="AM600" s="57">
        <f>AL602</f>
        <v>21156</v>
      </c>
      <c r="AN600" s="57">
        <f>AM602</f>
        <v>21906</v>
      </c>
      <c r="AO600" s="57">
        <f>AN602</f>
        <v>22120</v>
      </c>
      <c r="AP600" s="999">
        <f>AK602</f>
        <v>22221</v>
      </c>
      <c r="AQ600" s="128"/>
      <c r="AR600" s="128"/>
      <c r="AS600" s="128"/>
      <c r="AT600" s="128"/>
      <c r="AU600" s="1000"/>
      <c r="AV600" s="128"/>
      <c r="AW600" s="128"/>
      <c r="AX600" s="128"/>
      <c r="AY600" s="128"/>
      <c r="AZ600" s="1000"/>
      <c r="BA600" s="128"/>
      <c r="BB600" s="128"/>
      <c r="BC600" s="128"/>
      <c r="BD600" s="128"/>
      <c r="BE600" s="1000"/>
      <c r="BF600" s="128"/>
      <c r="BG600" s="128"/>
      <c r="BH600" s="465"/>
      <c r="BI600" s="128"/>
      <c r="BJ600" s="1000"/>
      <c r="BK600" s="128"/>
      <c r="BL600" s="128"/>
      <c r="BM600" s="128"/>
      <c r="BN600" s="128"/>
      <c r="BO600" s="1000"/>
      <c r="BP600" s="1000"/>
      <c r="BQ600" s="1000"/>
      <c r="BR600" s="1000"/>
      <c r="BS600" s="57"/>
    </row>
    <row r="601" spans="1:71" s="51" customFormat="1" ht="15" hidden="1" outlineLevel="2">
      <c r="A601" s="110" t="s">
        <v>583</v>
      </c>
      <c r="B601" s="497"/>
      <c r="C601" s="1030"/>
      <c r="D601" s="1030"/>
      <c r="E601" s="1030"/>
      <c r="F601" s="1030"/>
      <c r="G601" s="1030"/>
      <c r="H601" s="498"/>
      <c r="I601" s="498"/>
      <c r="J601" s="498"/>
      <c r="K601" s="498"/>
      <c r="L601" s="1030"/>
      <c r="M601" s="498"/>
      <c r="N601" s="498"/>
      <c r="O601" s="498"/>
      <c r="P601" s="498"/>
      <c r="Q601" s="1030"/>
      <c r="R601" s="498"/>
      <c r="S601" s="498"/>
      <c r="T601" s="498"/>
      <c r="U601" s="498"/>
      <c r="V601" s="1030"/>
      <c r="W601" s="115"/>
      <c r="X601" s="115"/>
      <c r="Y601" s="115"/>
      <c r="Z601" s="115"/>
      <c r="AA601" s="995"/>
      <c r="AB601" s="58">
        <f t="shared" si="1946" ref="AB601:AK601">AB602-AB600</f>
        <v>-492</v>
      </c>
      <c r="AC601" s="58">
        <f t="shared" si="1946"/>
        <v>-418</v>
      </c>
      <c r="AD601" s="58">
        <f t="shared" si="1946"/>
        <v>-275</v>
      </c>
      <c r="AE601" s="58">
        <f t="shared" si="1946"/>
        <v>-201</v>
      </c>
      <c r="AF601" s="998">
        <f t="shared" si="1946"/>
        <v>-1386</v>
      </c>
      <c r="AG601" s="58">
        <f t="shared" si="1946"/>
        <v>187</v>
      </c>
      <c r="AH601" s="58">
        <f t="shared" si="1946"/>
        <v>242</v>
      </c>
      <c r="AI601" s="58">
        <f t="shared" si="1946"/>
        <v>-47</v>
      </c>
      <c r="AJ601" s="58">
        <f t="shared" si="1946"/>
        <v>-497</v>
      </c>
      <c r="AK601" s="998">
        <f t="shared" si="1946"/>
        <v>-115</v>
      </c>
      <c r="AL601" s="58">
        <f>AL602-AL600</f>
        <v>-1065</v>
      </c>
      <c r="AM601" s="58">
        <f>AM602-AM600</f>
        <v>750</v>
      </c>
      <c r="AN601" s="58">
        <f>AN602-AN600</f>
        <v>214</v>
      </c>
      <c r="AO601" s="58">
        <f t="shared" si="1947" ref="AO601:AP601">AO602-AO600</f>
        <v>171</v>
      </c>
      <c r="AP601" s="998">
        <f t="shared" si="1947"/>
        <v>70</v>
      </c>
      <c r="AQ601" s="115"/>
      <c r="AR601" s="115"/>
      <c r="AS601" s="115"/>
      <c r="AT601" s="115"/>
      <c r="AU601" s="995"/>
      <c r="AV601" s="115"/>
      <c r="AW601" s="115"/>
      <c r="AX601" s="115"/>
      <c r="AY601" s="115"/>
      <c r="AZ601" s="995"/>
      <c r="BA601" s="115"/>
      <c r="BB601" s="115"/>
      <c r="BC601" s="115"/>
      <c r="BD601" s="115"/>
      <c r="BE601" s="995"/>
      <c r="BF601" s="115"/>
      <c r="BG601" s="115"/>
      <c r="BH601" s="641"/>
      <c r="BI601" s="115"/>
      <c r="BJ601" s="995"/>
      <c r="BK601" s="115"/>
      <c r="BL601" s="115"/>
      <c r="BM601" s="115"/>
      <c r="BN601" s="115"/>
      <c r="BO601" s="995"/>
      <c r="BP601" s="995"/>
      <c r="BQ601" s="995"/>
      <c r="BR601" s="995"/>
      <c r="BS601" s="57"/>
    </row>
    <row r="602" spans="1:71" s="51" customFormat="1" ht="15" hidden="1" outlineLevel="2">
      <c r="A602" s="109" t="s">
        <v>584</v>
      </c>
      <c r="B602" s="391"/>
      <c r="C602" s="1000"/>
      <c r="D602" s="1000"/>
      <c r="E602" s="1000"/>
      <c r="F602" s="1000"/>
      <c r="G602" s="1000"/>
      <c r="H602" s="128"/>
      <c r="I602" s="128"/>
      <c r="J602" s="128"/>
      <c r="K602" s="128"/>
      <c r="L602" s="1000"/>
      <c r="M602" s="128"/>
      <c r="N602" s="128"/>
      <c r="O602" s="128"/>
      <c r="P602" s="128"/>
      <c r="Q602" s="1000"/>
      <c r="R602" s="128"/>
      <c r="S602" s="128"/>
      <c r="T602" s="128"/>
      <c r="U602" s="128"/>
      <c r="V602" s="1000"/>
      <c r="W602" s="128"/>
      <c r="X602" s="128"/>
      <c r="Y602" s="128"/>
      <c r="Z602" s="128"/>
      <c r="AA602" s="1031">
        <v>23722</v>
      </c>
      <c r="AB602" s="922">
        <v>23230</v>
      </c>
      <c r="AC602" s="922">
        <v>22812</v>
      </c>
      <c r="AD602" s="922">
        <v>22537</v>
      </c>
      <c r="AE602" s="57">
        <f>AF602</f>
        <v>22336</v>
      </c>
      <c r="AF602" s="1031">
        <v>22336</v>
      </c>
      <c r="AG602" s="922">
        <v>22523</v>
      </c>
      <c r="AH602" s="922">
        <v>22765</v>
      </c>
      <c r="AI602" s="922">
        <v>22718</v>
      </c>
      <c r="AJ602" s="57">
        <f>AK602</f>
        <v>22221</v>
      </c>
      <c r="AK602" s="1031">
        <v>22221</v>
      </c>
      <c r="AL602" s="922">
        <v>21156</v>
      </c>
      <c r="AM602" s="922">
        <v>21906</v>
      </c>
      <c r="AN602" s="922">
        <v>22120</v>
      </c>
      <c r="AO602" s="57">
        <f>AP602</f>
        <v>22291</v>
      </c>
      <c r="AP602" s="1031">
        <v>22291</v>
      </c>
      <c r="AQ602" s="128"/>
      <c r="AR602" s="128"/>
      <c r="AS602" s="128"/>
      <c r="AT602" s="128"/>
      <c r="AU602" s="1000"/>
      <c r="AV602" s="128"/>
      <c r="AW602" s="128"/>
      <c r="AX602" s="128"/>
      <c r="AY602" s="128"/>
      <c r="AZ602" s="1000"/>
      <c r="BA602" s="128"/>
      <c r="BB602" s="128"/>
      <c r="BC602" s="128"/>
      <c r="BD602" s="128"/>
      <c r="BE602" s="1000"/>
      <c r="BF602" s="128"/>
      <c r="BG602" s="128"/>
      <c r="BH602" s="465"/>
      <c r="BI602" s="128"/>
      <c r="BJ602" s="1000"/>
      <c r="BK602" s="128"/>
      <c r="BL602" s="128"/>
      <c r="BM602" s="128"/>
      <c r="BN602" s="128"/>
      <c r="BO602" s="1000"/>
      <c r="BP602" s="1000"/>
      <c r="BQ602" s="1000"/>
      <c r="BR602" s="1000"/>
      <c r="BS602" s="57"/>
    </row>
    <row r="603" spans="1:71" s="51" customFormat="1" ht="15" hidden="1" outlineLevel="2">
      <c r="A603" s="109" t="s">
        <v>585</v>
      </c>
      <c r="B603" s="391"/>
      <c r="C603" s="1000"/>
      <c r="D603" s="1000"/>
      <c r="E603" s="1000"/>
      <c r="F603" s="1000"/>
      <c r="G603" s="1000"/>
      <c r="H603" s="128"/>
      <c r="I603" s="128"/>
      <c r="J603" s="128"/>
      <c r="K603" s="128"/>
      <c r="L603" s="1000"/>
      <c r="M603" s="128"/>
      <c r="N603" s="128"/>
      <c r="O603" s="128"/>
      <c r="P603" s="128"/>
      <c r="Q603" s="1000"/>
      <c r="R603" s="128"/>
      <c r="S603" s="128"/>
      <c r="T603" s="128"/>
      <c r="U603" s="128"/>
      <c r="V603" s="1000"/>
      <c r="W603" s="128"/>
      <c r="X603" s="128"/>
      <c r="Y603" s="128"/>
      <c r="Z603" s="128"/>
      <c r="AA603" s="1000"/>
      <c r="AB603" s="57">
        <f>AVERAGE(AA602,AB602)</f>
        <v>23476</v>
      </c>
      <c r="AC603" s="57">
        <f t="shared" si="1948" ref="AC603">AVERAGE(AB602,AC602)</f>
        <v>23021</v>
      </c>
      <c r="AD603" s="57">
        <f t="shared" si="1949" ref="AD603">AVERAGE(AC602,AD602)</f>
        <v>22674.50</v>
      </c>
      <c r="AE603" s="57">
        <f t="shared" si="1950" ref="AE603">AVERAGE(AD602,AE602)</f>
        <v>22436.50</v>
      </c>
      <c r="AF603" s="999">
        <f>SUM(AB603*AB$3,AC603*AC$3,AD603*AD$3,AE603*AE$3)/SUM(AB$3,AC$3,AD$3,AE$3)</f>
        <v>22898.528767123287</v>
      </c>
      <c r="AG603" s="57">
        <f>AVERAGE(AF602,AG602)</f>
        <v>22429.50</v>
      </c>
      <c r="AH603" s="57">
        <f t="shared" si="1951" ref="AH603">AVERAGE(AG602,AH602)</f>
        <v>22644</v>
      </c>
      <c r="AI603" s="57">
        <f t="shared" si="1952" ref="AI603">AVERAGE(AH602,AI602)</f>
        <v>22741.50</v>
      </c>
      <c r="AJ603" s="57">
        <f t="shared" si="1953" ref="AJ603">AVERAGE(AI602,AJ602)</f>
        <v>22469.50</v>
      </c>
      <c r="AK603" s="999">
        <f>SUM(AG603*AG$3,AH603*AH$3,AI603*AI$3,AJ603*AJ$3)/SUM(AG$3,AH$3,AI$3,AJ$3)</f>
        <v>22571.701369863014</v>
      </c>
      <c r="AL603" s="57">
        <f>AVERAGE(AK602,AL602)</f>
        <v>21688.50</v>
      </c>
      <c r="AM603" s="57">
        <f>AVERAGE(AL602,AM602)</f>
        <v>21531</v>
      </c>
      <c r="AN603" s="57">
        <f>AVERAGE(AM602,AN602)</f>
        <v>22013</v>
      </c>
      <c r="AO603" s="57">
        <f t="shared" si="1954" ref="AO603">AVERAGE(AN602,AO602)</f>
        <v>22205.50</v>
      </c>
      <c r="AP603" s="999">
        <f>SUM(AL603*AL$3,AM603*AM$3,AN603*AN$3,AO603*AO$3)/SUM(AL$3,AM$3,AN$3,AO$3)</f>
        <v>21860.864754098362</v>
      </c>
      <c r="AQ603" s="128"/>
      <c r="AR603" s="128"/>
      <c r="AS603" s="128"/>
      <c r="AT603" s="128"/>
      <c r="AU603" s="1000"/>
      <c r="AV603" s="128"/>
      <c r="AW603" s="128"/>
      <c r="AX603" s="128"/>
      <c r="AY603" s="128"/>
      <c r="AZ603" s="1000"/>
      <c r="BA603" s="128"/>
      <c r="BB603" s="128"/>
      <c r="BC603" s="128"/>
      <c r="BD603" s="128"/>
      <c r="BE603" s="1000"/>
      <c r="BF603" s="128"/>
      <c r="BG603" s="128"/>
      <c r="BH603" s="465"/>
      <c r="BI603" s="128"/>
      <c r="BJ603" s="1000"/>
      <c r="BK603" s="128"/>
      <c r="BL603" s="128"/>
      <c r="BM603" s="128"/>
      <c r="BN603" s="128"/>
      <c r="BO603" s="1000"/>
      <c r="BP603" s="1000"/>
      <c r="BQ603" s="1000"/>
      <c r="BR603" s="1000"/>
      <c r="BS603" s="57"/>
    </row>
    <row r="604" spans="1:71" s="29" customFormat="1" ht="15" hidden="1" outlineLevel="2">
      <c r="A604" s="42" t="s">
        <v>586</v>
      </c>
      <c r="B604" s="232"/>
      <c r="C604" s="1025"/>
      <c r="D604" s="1025"/>
      <c r="E604" s="1025"/>
      <c r="F604" s="1025"/>
      <c r="G604" s="1025"/>
      <c r="H604" s="650"/>
      <c r="I604" s="650"/>
      <c r="J604" s="650"/>
      <c r="K604" s="650"/>
      <c r="L604" s="1025"/>
      <c r="M604" s="650"/>
      <c r="N604" s="650"/>
      <c r="O604" s="650"/>
      <c r="P604" s="650"/>
      <c r="Q604" s="1025"/>
      <c r="R604" s="650"/>
      <c r="S604" s="650"/>
      <c r="T604" s="650"/>
      <c r="U604" s="650"/>
      <c r="V604" s="1025"/>
      <c r="W604" s="650"/>
      <c r="X604" s="650"/>
      <c r="Y604" s="650"/>
      <c r="Z604" s="650"/>
      <c r="AA604" s="1025"/>
      <c r="AB604" s="650"/>
      <c r="AC604" s="650"/>
      <c r="AD604" s="650"/>
      <c r="AE604" s="650"/>
      <c r="AF604" s="1033">
        <f t="shared" si="1955" ref="AF604">AF602/AA602-1</f>
        <v>-0.058426776831633109</v>
      </c>
      <c r="AG604" s="649">
        <f t="shared" si="1956" ref="AG604">AG602/AB602-1</f>
        <v>-0.030434782608695699</v>
      </c>
      <c r="AH604" s="649">
        <f t="shared" si="1957" ref="AH604">AH602/AC602-1</f>
        <v>-0.0020603191302822621</v>
      </c>
      <c r="AI604" s="649">
        <f t="shared" si="1958" ref="AI604">AI602/AD602-1</f>
        <v>0.0080312375205218167</v>
      </c>
      <c r="AJ604" s="649">
        <f t="shared" si="1959" ref="AJ604">AJ602/AE602-1</f>
        <v>-0.0051486389684813894</v>
      </c>
      <c r="AK604" s="1033">
        <f t="shared" si="1960" ref="AK604">AK602/AF602-1</f>
        <v>-0.0051486389684813894</v>
      </c>
      <c r="AL604" s="649">
        <f t="shared" si="1961" ref="AL604">AL602/AG602-1</f>
        <v>-0.060693513297518042</v>
      </c>
      <c r="AM604" s="649">
        <f>AM602/AH602-1</f>
        <v>-0.037733362618054045</v>
      </c>
      <c r="AN604" s="649">
        <f>AN602/AI602-1</f>
        <v>-0.026322739677788531</v>
      </c>
      <c r="AO604" s="649">
        <f t="shared" si="1962" ref="AO604:AP604">AO602/AJ602-1</f>
        <v>0.0031501732595293763</v>
      </c>
      <c r="AP604" s="1033">
        <f t="shared" si="1962"/>
        <v>0.0031501732595293763</v>
      </c>
      <c r="AQ604" s="650"/>
      <c r="AR604" s="650"/>
      <c r="AS604" s="650"/>
      <c r="AT604" s="650"/>
      <c r="AU604" s="1025"/>
      <c r="AV604" s="650"/>
      <c r="AW604" s="650"/>
      <c r="AX604" s="650"/>
      <c r="AY604" s="650"/>
      <c r="AZ604" s="1025"/>
      <c r="BA604" s="650"/>
      <c r="BB604" s="650"/>
      <c r="BC604" s="650"/>
      <c r="BD604" s="650"/>
      <c r="BE604" s="1025"/>
      <c r="BF604" s="650"/>
      <c r="BG604" s="650"/>
      <c r="BH604" s="752"/>
      <c r="BI604" s="650"/>
      <c r="BJ604" s="1025"/>
      <c r="BK604" s="650"/>
      <c r="BL604" s="650"/>
      <c r="BM604" s="650"/>
      <c r="BN604" s="650"/>
      <c r="BO604" s="1025"/>
      <c r="BP604" s="1025"/>
      <c r="BQ604" s="1025"/>
      <c r="BR604" s="1025"/>
      <c r="BS604" s="649"/>
    </row>
    <row r="605" spans="1:71" s="51" customFormat="1" ht="15" hidden="1" outlineLevel="2">
      <c r="A605" s="220"/>
      <c r="B605" s="391"/>
      <c r="C605" s="1000"/>
      <c r="D605" s="1000"/>
      <c r="E605" s="1000"/>
      <c r="F605" s="1000"/>
      <c r="G605" s="1000"/>
      <c r="H605" s="128"/>
      <c r="I605" s="128"/>
      <c r="J605" s="128"/>
      <c r="K605" s="128"/>
      <c r="L605" s="1000"/>
      <c r="M605" s="128"/>
      <c r="N605" s="128"/>
      <c r="O605" s="128"/>
      <c r="P605" s="128"/>
      <c r="Q605" s="1000"/>
      <c r="R605" s="128"/>
      <c r="S605" s="128"/>
      <c r="T605" s="128"/>
      <c r="U605" s="128"/>
      <c r="V605" s="1000"/>
      <c r="W605" s="128"/>
      <c r="X605" s="128"/>
      <c r="Y605" s="128"/>
      <c r="Z605" s="128"/>
      <c r="AA605" s="1000"/>
      <c r="AB605" s="128"/>
      <c r="AC605" s="128"/>
      <c r="AD605" s="128"/>
      <c r="AE605" s="128"/>
      <c r="AF605" s="1000"/>
      <c r="AG605" s="128"/>
      <c r="AH605" s="128"/>
      <c r="AI605" s="128"/>
      <c r="AJ605" s="128"/>
      <c r="AK605" s="1000"/>
      <c r="AL605" s="128"/>
      <c r="AM605" s="128"/>
      <c r="AN605" s="128"/>
      <c r="AO605" s="128"/>
      <c r="AP605" s="1000"/>
      <c r="AQ605" s="128"/>
      <c r="AR605" s="128"/>
      <c r="AS605" s="128"/>
      <c r="AT605" s="128"/>
      <c r="AU605" s="1000"/>
      <c r="AV605" s="128"/>
      <c r="AW605" s="128"/>
      <c r="AX605" s="128"/>
      <c r="AY605" s="128"/>
      <c r="AZ605" s="1000"/>
      <c r="BA605" s="128"/>
      <c r="BB605" s="128"/>
      <c r="BC605" s="128"/>
      <c r="BD605" s="128"/>
      <c r="BE605" s="1000"/>
      <c r="BF605" s="128"/>
      <c r="BG605" s="128"/>
      <c r="BH605" s="465"/>
      <c r="BI605" s="128"/>
      <c r="BJ605" s="1000"/>
      <c r="BK605" s="128"/>
      <c r="BL605" s="128"/>
      <c r="BM605" s="128"/>
      <c r="BN605" s="128"/>
      <c r="BO605" s="1000"/>
      <c r="BP605" s="1000"/>
      <c r="BQ605" s="1000"/>
      <c r="BR605" s="1000"/>
      <c r="BS605" s="57"/>
    </row>
    <row r="606" spans="1:71" s="32" customFormat="1" ht="15" hidden="1" outlineLevel="2">
      <c r="A606" s="220" t="s">
        <v>587</v>
      </c>
      <c r="B606" s="234"/>
      <c r="C606" s="1035"/>
      <c r="D606" s="1035"/>
      <c r="E606" s="1035"/>
      <c r="F606" s="1035"/>
      <c r="G606" s="1035"/>
      <c r="H606" s="221"/>
      <c r="I606" s="221"/>
      <c r="J606" s="221"/>
      <c r="K606" s="221"/>
      <c r="L606" s="1035"/>
      <c r="M606" s="221"/>
      <c r="N606" s="221"/>
      <c r="O606" s="221"/>
      <c r="P606" s="221"/>
      <c r="Q606" s="1035"/>
      <c r="R606" s="221"/>
      <c r="S606" s="221"/>
      <c r="T606" s="221"/>
      <c r="U606" s="221"/>
      <c r="V606" s="1035"/>
      <c r="W606" s="221"/>
      <c r="X606" s="221"/>
      <c r="Y606" s="221"/>
      <c r="Z606" s="221"/>
      <c r="AA606" s="1035"/>
      <c r="AB606" s="54">
        <f>AB575/AB603*(AF$3/AB$3)</f>
        <v>0.050098445693947481</v>
      </c>
      <c r="AC606" s="54">
        <f>AC575/AC603*(AF$3/AC$3)</f>
        <v>0.051049901403925992</v>
      </c>
      <c r="AD606" s="54">
        <f>AD575/AD603*(AF$3/AD$3)</f>
        <v>0.045492590316453939</v>
      </c>
      <c r="AE606" s="54">
        <f>AE575/AE603*(AF$3/AE$3)</f>
        <v>0.044737369910636683</v>
      </c>
      <c r="AF606" s="1036">
        <f t="shared" si="1963" ref="AF606:AK606">AF575/AF603</f>
        <v>0.047863337035591091</v>
      </c>
      <c r="AG606" s="54">
        <f>AG575/AG603*(AK$3/AG$3)</f>
        <v>0.034354557861546418</v>
      </c>
      <c r="AH606" s="54">
        <f>AH575/AH603*(AK$3/AH$3)</f>
        <v>0.052431228901817138</v>
      </c>
      <c r="AI606" s="54">
        <f>AI575/AI603*(AK$3/AI$3)</f>
        <v>0.043788457990515325</v>
      </c>
      <c r="AJ606" s="54">
        <f>AJ575/AJ603*(AK$3/AJ$3)</f>
        <v>0.031782212990169284</v>
      </c>
      <c r="AK606" s="1036">
        <f t="shared" si="1963"/>
        <v>0.040626091271274214</v>
      </c>
      <c r="AL606" s="54">
        <f>AL575/AL603*(AP$3/AL$3)</f>
        <v>0.0087158156180910176</v>
      </c>
      <c r="AM606" s="54">
        <f>AM575/AM603*(AP$3/AM$3)</f>
        <v>0.012328760830920507</v>
      </c>
      <c r="AN606" s="54">
        <f>AN575/AN603*(AP$3/AN$3)</f>
        <v>0.044277195886225328</v>
      </c>
      <c r="AO606" s="54">
        <f>AO575/AO603*(AP$3/AO$3)</f>
        <v>0.072200091438372582</v>
      </c>
      <c r="AP606" s="1036">
        <f t="shared" si="1964" ref="AP606">AP575/AP603</f>
        <v>0.034811065735966901</v>
      </c>
      <c r="AQ606" s="221"/>
      <c r="AR606" s="221"/>
      <c r="AS606" s="221"/>
      <c r="AT606" s="221"/>
      <c r="AU606" s="1035"/>
      <c r="AV606" s="221"/>
      <c r="AW606" s="221"/>
      <c r="AX606" s="221"/>
      <c r="AY606" s="221"/>
      <c r="AZ606" s="1035"/>
      <c r="BA606" s="221"/>
      <c r="BB606" s="221"/>
      <c r="BC606" s="221"/>
      <c r="BD606" s="221"/>
      <c r="BE606" s="1035"/>
      <c r="BF606" s="221"/>
      <c r="BG606" s="221"/>
      <c r="BH606" s="757"/>
      <c r="BI606" s="221"/>
      <c r="BJ606" s="1035"/>
      <c r="BK606" s="221"/>
      <c r="BL606" s="221"/>
      <c r="BM606" s="221"/>
      <c r="BN606" s="221"/>
      <c r="BO606" s="1035"/>
      <c r="BP606" s="1035"/>
      <c r="BQ606" s="1035"/>
      <c r="BR606" s="1035"/>
      <c r="BS606" s="54"/>
    </row>
    <row r="607" spans="1:71" s="17" customFormat="1" ht="15" collapsed="1">
      <c r="A607" s="220"/>
      <c r="B607" s="493"/>
      <c r="C607" s="1027"/>
      <c r="D607" s="1027"/>
      <c r="E607" s="1027"/>
      <c r="F607" s="1027"/>
      <c r="G607" s="1027"/>
      <c r="H607" s="843"/>
      <c r="I607" s="843"/>
      <c r="J607" s="843"/>
      <c r="K607" s="843"/>
      <c r="L607" s="1027"/>
      <c r="M607" s="843"/>
      <c r="N607" s="843"/>
      <c r="O607" s="843"/>
      <c r="P607" s="843"/>
      <c r="Q607" s="1027"/>
      <c r="R607" s="843"/>
      <c r="S607" s="843"/>
      <c r="T607" s="843"/>
      <c r="U607" s="843"/>
      <c r="V607" s="1027"/>
      <c r="W607" s="843"/>
      <c r="X607" s="843"/>
      <c r="Y607" s="843"/>
      <c r="Z607" s="843"/>
      <c r="AA607" s="1027"/>
      <c r="AB607" s="843"/>
      <c r="AC607" s="843"/>
      <c r="AD607" s="843"/>
      <c r="AE607" s="843"/>
      <c r="AF607" s="1027"/>
      <c r="AG607" s="843"/>
      <c r="AH607" s="843"/>
      <c r="AI607" s="843"/>
      <c r="AJ607" s="843"/>
      <c r="AK607" s="1027"/>
      <c r="AL607" s="843"/>
      <c r="AM607" s="843"/>
      <c r="AN607" s="843"/>
      <c r="AO607" s="843"/>
      <c r="AP607" s="1027"/>
      <c r="AQ607" s="843"/>
      <c r="AR607" s="843"/>
      <c r="AS607" s="843"/>
      <c r="AT607" s="843"/>
      <c r="AU607" s="1027"/>
      <c r="AV607" s="843"/>
      <c r="AW607" s="843"/>
      <c r="AX607" s="843"/>
      <c r="AY607" s="843"/>
      <c r="AZ607" s="1027"/>
      <c r="BA607" s="843"/>
      <c r="BB607" s="843"/>
      <c r="BC607" s="843"/>
      <c r="BD607" s="843"/>
      <c r="BE607" s="1027"/>
      <c r="BF607" s="843"/>
      <c r="BG607" s="843"/>
      <c r="BH607" s="844"/>
      <c r="BI607" s="843"/>
      <c r="BJ607" s="1027"/>
      <c r="BK607" s="843"/>
      <c r="BL607" s="843"/>
      <c r="BM607" s="843"/>
      <c r="BN607" s="843"/>
      <c r="BO607" s="1027"/>
      <c r="BP607" s="1027"/>
      <c r="BQ607" s="1027"/>
      <c r="BR607" s="1027"/>
      <c r="BS607" s="457"/>
    </row>
    <row r="608" spans="1:71" s="17" customFormat="1" ht="15">
      <c r="A608" s="818" t="s">
        <v>30</v>
      </c>
      <c r="B608" s="818"/>
      <c r="C608" s="837"/>
      <c r="D608" s="837"/>
      <c r="E608" s="837"/>
      <c r="F608" s="837"/>
      <c r="G608" s="837"/>
      <c r="H608" s="837"/>
      <c r="I608" s="837"/>
      <c r="J608" s="837"/>
      <c r="K608" s="837"/>
      <c r="L608" s="837"/>
      <c r="M608" s="837"/>
      <c r="N608" s="837"/>
      <c r="O608" s="837"/>
      <c r="P608" s="837"/>
      <c r="Q608" s="837"/>
      <c r="R608" s="837"/>
      <c r="S608" s="837"/>
      <c r="T608" s="837"/>
      <c r="U608" s="837"/>
      <c r="V608" s="837"/>
      <c r="W608" s="837"/>
      <c r="X608" s="837"/>
      <c r="Y608" s="837"/>
      <c r="Z608" s="837"/>
      <c r="AA608" s="837"/>
      <c r="AB608" s="837"/>
      <c r="AC608" s="837"/>
      <c r="AD608" s="837"/>
      <c r="AE608" s="837"/>
      <c r="AF608" s="837"/>
      <c r="AG608" s="837"/>
      <c r="AH608" s="837"/>
      <c r="AI608" s="837"/>
      <c r="AJ608" s="837"/>
      <c r="AK608" s="837"/>
      <c r="AL608" s="837" t="s">
        <v>671</v>
      </c>
      <c r="AM608" s="837" t="s">
        <v>671</v>
      </c>
      <c r="AN608" s="837" t="s">
        <v>671</v>
      </c>
      <c r="AO608" s="837" t="s">
        <v>671</v>
      </c>
      <c r="AP608" s="837" t="s">
        <v>671</v>
      </c>
      <c r="AQ608" s="837"/>
      <c r="AR608" s="837"/>
      <c r="AS608" s="837"/>
      <c r="AT608" s="837"/>
      <c r="AU608" s="837"/>
      <c r="AV608" s="837"/>
      <c r="AW608" s="837"/>
      <c r="AX608" s="837"/>
      <c r="AY608" s="837"/>
      <c r="AZ608" s="837"/>
      <c r="BA608" s="837"/>
      <c r="BB608" s="837"/>
      <c r="BC608" s="837"/>
      <c r="BD608" s="837"/>
      <c r="BE608" s="837"/>
      <c r="BF608" s="837"/>
      <c r="BG608" s="837"/>
      <c r="BH608" s="838"/>
      <c r="BI608" s="837"/>
      <c r="BJ608" s="837"/>
      <c r="BK608" s="837"/>
      <c r="BL608" s="837"/>
      <c r="BM608" s="837"/>
      <c r="BN608" s="837"/>
      <c r="BO608" s="837"/>
      <c r="BP608" s="837"/>
      <c r="BQ608" s="837"/>
      <c r="BR608" s="837"/>
      <c r="BS608" s="457"/>
    </row>
    <row r="609" spans="1:71" s="85" customFormat="1" ht="15" hidden="1" outlineLevel="1">
      <c r="A609" s="82" t="s">
        <v>31</v>
      </c>
      <c r="B609" s="111"/>
      <c r="C609" s="988">
        <v>26194</v>
      </c>
      <c r="D609" s="988">
        <v>25957</v>
      </c>
      <c r="E609" s="988">
        <v>25942</v>
      </c>
      <c r="F609" s="988">
        <v>26737</v>
      </c>
      <c r="G609" s="988">
        <v>27618</v>
      </c>
      <c r="H609" s="897">
        <v>7064</v>
      </c>
      <c r="I609" s="897">
        <v>7204</v>
      </c>
      <c r="J609" s="897">
        <v>7307</v>
      </c>
      <c r="K609" s="92">
        <f>L609-J609-I609-H609</f>
        <v>7354</v>
      </c>
      <c r="L609" s="988">
        <v>28929</v>
      </c>
      <c r="M609" s="897">
        <v>7426</v>
      </c>
      <c r="N609" s="897">
        <v>7549</v>
      </c>
      <c r="O609" s="897">
        <v>7650</v>
      </c>
      <c r="P609" s="92">
        <f>Q609-O609-N609-M609</f>
        <v>7684</v>
      </c>
      <c r="Q609" s="988">
        <v>30309</v>
      </c>
      <c r="R609" s="897">
        <v>7723</v>
      </c>
      <c r="S609" s="897">
        <v>7814</v>
      </c>
      <c r="T609" s="897">
        <v>7869</v>
      </c>
      <c r="U609" s="92">
        <f>V609-SUM(R609,S609,T609)</f>
        <v>7901</v>
      </c>
      <c r="V609" s="988">
        <v>31307</v>
      </c>
      <c r="W609" s="897">
        <v>7959</v>
      </c>
      <c r="X609" s="897">
        <v>8018</v>
      </c>
      <c r="Y609" s="897">
        <v>8121</v>
      </c>
      <c r="Z609" s="92">
        <f>AA609-SUM(W609,X609,Y609)</f>
        <v>8202</v>
      </c>
      <c r="AA609" s="988">
        <v>32300</v>
      </c>
      <c r="AB609" s="897">
        <v>8286</v>
      </c>
      <c r="AC609" s="897">
        <v>8460</v>
      </c>
      <c r="AD609" s="897">
        <v>8595</v>
      </c>
      <c r="AE609" s="92">
        <f t="shared" si="1965" ref="AE609:AE614">AF609-SUM(AB609,AC609,AD609)</f>
        <v>8707</v>
      </c>
      <c r="AF609" s="988">
        <v>34048</v>
      </c>
      <c r="AG609" s="897">
        <v>8802</v>
      </c>
      <c r="AH609" s="897">
        <v>8986</v>
      </c>
      <c r="AI609" s="897">
        <v>9094</v>
      </c>
      <c r="AJ609" s="92">
        <f t="shared" si="1966" ref="AJ609:AJ614">AK609-SUM(AG609,AH609,AI609)</f>
        <v>9194</v>
      </c>
      <c r="AK609" s="988">
        <v>36076</v>
      </c>
      <c r="AL609" s="897">
        <v>9235</v>
      </c>
      <c r="AM609" s="897">
        <v>9223</v>
      </c>
      <c r="AN609" s="897">
        <v>9336</v>
      </c>
      <c r="AO609" s="897">
        <v>9279</v>
      </c>
      <c r="AP609" s="989">
        <f t="shared" si="1967" ref="AP609:AP614">SUM(AL609,AM609,AN609,AO609)</f>
        <v>37073</v>
      </c>
      <c r="AQ609" s="897">
        <v>10307</v>
      </c>
      <c r="AR609" s="897">
        <v>10444</v>
      </c>
      <c r="AS609" s="897">
        <v>10615</v>
      </c>
      <c r="AT609" s="897">
        <v>10852</v>
      </c>
      <c r="AU609" s="989">
        <f t="shared" si="1968" ref="AU609:AU614">SUM(AQ609,AR609,AS609,AT609)</f>
        <v>42218</v>
      </c>
      <c r="AV609" s="897">
        <v>10981</v>
      </c>
      <c r="AW609" s="897">
        <v>11362</v>
      </c>
      <c r="AX609" s="897">
        <v>11661</v>
      </c>
      <c r="AY609" s="897">
        <v>11900</v>
      </c>
      <c r="AZ609" s="989">
        <f t="shared" si="1969" ref="AZ609:AZ614">SUM(AV609,AW609,AX609,AY609)</f>
        <v>45904</v>
      </c>
      <c r="BA609" s="897">
        <v>12173</v>
      </c>
      <c r="BB609" s="897">
        <v>12470</v>
      </c>
      <c r="BC609" s="897">
        <v>12839</v>
      </c>
      <c r="BD609" s="897">
        <v>13188</v>
      </c>
      <c r="BE609" s="989">
        <f t="shared" si="1970" ref="BE609:BE614">SUM(BA609,BB609,BC609,BD609)</f>
        <v>50670</v>
      </c>
      <c r="BF609" s="897">
        <v>13512</v>
      </c>
      <c r="BG609" s="897">
        <v>13952</v>
      </c>
      <c r="BH609" s="898">
        <v>14333</v>
      </c>
      <c r="BI609" s="92"/>
      <c r="BJ609" s="989"/>
      <c r="BK609" s="92"/>
      <c r="BL609" s="92"/>
      <c r="BM609" s="92"/>
      <c r="BN609" s="92"/>
      <c r="BO609" s="989"/>
      <c r="BP609" s="989"/>
      <c r="BQ609" s="989"/>
      <c r="BR609" s="989"/>
      <c r="BS609" s="84"/>
    </row>
    <row r="610" spans="1:71" s="300" customFormat="1" ht="15" hidden="1" outlineLevel="1">
      <c r="A610" s="304" t="s">
        <v>32</v>
      </c>
      <c r="B610" s="166"/>
      <c r="C610" s="988">
        <v>1958</v>
      </c>
      <c r="D610" s="988">
        <v>2168</v>
      </c>
      <c r="E610" s="988">
        <v>2238</v>
      </c>
      <c r="F610" s="988">
        <v>2241</v>
      </c>
      <c r="G610" s="988">
        <v>2352</v>
      </c>
      <c r="H610" s="897">
        <v>607</v>
      </c>
      <c r="I610" s="897">
        <v>518</v>
      </c>
      <c r="J610" s="897">
        <v>512</v>
      </c>
      <c r="K610" s="92">
        <f>L610-J610-I610-H610</f>
        <v>520</v>
      </c>
      <c r="L610" s="988">
        <v>2157</v>
      </c>
      <c r="M610" s="897">
        <v>537</v>
      </c>
      <c r="N610" s="897">
        <v>536</v>
      </c>
      <c r="O610" s="897">
        <v>538</v>
      </c>
      <c r="P610" s="92">
        <f>Q610-O610-N610-M610</f>
        <v>547</v>
      </c>
      <c r="Q610" s="988">
        <v>2158</v>
      </c>
      <c r="R610" s="897">
        <v>566</v>
      </c>
      <c r="S610" s="897">
        <v>564</v>
      </c>
      <c r="T610" s="897">
        <v>571</v>
      </c>
      <c r="U610" s="92">
        <f>V610-SUM(R610,S610,T610)</f>
        <v>574</v>
      </c>
      <c r="V610" s="988">
        <v>2275</v>
      </c>
      <c r="W610" s="897">
        <v>593</v>
      </c>
      <c r="X610" s="897">
        <v>591</v>
      </c>
      <c r="Y610" s="897">
        <v>593</v>
      </c>
      <c r="Z610" s="92">
        <f>AA610-SUM(W610,X610,Y610)</f>
        <v>601</v>
      </c>
      <c r="AA610" s="988">
        <v>2378</v>
      </c>
      <c r="AB610" s="897">
        <v>616</v>
      </c>
      <c r="AC610" s="897">
        <v>612</v>
      </c>
      <c r="AD610" s="897">
        <v>612</v>
      </c>
      <c r="AE610" s="92">
        <f t="shared" si="1965"/>
        <v>625</v>
      </c>
      <c r="AF610" s="988">
        <v>2465</v>
      </c>
      <c r="AG610" s="897">
        <v>628</v>
      </c>
      <c r="AH610" s="897">
        <v>621</v>
      </c>
      <c r="AI610" s="897">
        <v>625</v>
      </c>
      <c r="AJ610" s="92">
        <f t="shared" si="1966"/>
        <v>627</v>
      </c>
      <c r="AK610" s="988">
        <v>2501</v>
      </c>
      <c r="AL610" s="897">
        <v>282</v>
      </c>
      <c r="AM610" s="897">
        <v>263</v>
      </c>
      <c r="AN610" s="897">
        <v>287</v>
      </c>
      <c r="AO610" s="897">
        <v>262</v>
      </c>
      <c r="AP610" s="993">
        <f t="shared" si="1967"/>
        <v>1094</v>
      </c>
      <c r="AQ610" s="897">
        <v>455</v>
      </c>
      <c r="AR610" s="897">
        <v>447</v>
      </c>
      <c r="AS610" s="897">
        <v>460</v>
      </c>
      <c r="AT610" s="897">
        <v>459</v>
      </c>
      <c r="AU610" s="993">
        <f t="shared" si="1968"/>
        <v>1821</v>
      </c>
      <c r="AV610" s="897">
        <v>468</v>
      </c>
      <c r="AW610" s="897">
        <v>465</v>
      </c>
      <c r="AX610" s="897">
        <v>463</v>
      </c>
      <c r="AY610" s="897">
        <v>436</v>
      </c>
      <c r="AZ610" s="993">
        <f t="shared" si="1969"/>
        <v>1832</v>
      </c>
      <c r="BA610" s="897">
        <v>463</v>
      </c>
      <c r="BB610" s="897">
        <v>453</v>
      </c>
      <c r="BC610" s="897">
        <v>463</v>
      </c>
      <c r="BD610" s="897">
        <v>467</v>
      </c>
      <c r="BE610" s="993">
        <f t="shared" si="1970"/>
        <v>1846</v>
      </c>
      <c r="BF610" s="897">
        <v>478</v>
      </c>
      <c r="BG610" s="897">
        <v>474</v>
      </c>
      <c r="BH610" s="898">
        <v>487</v>
      </c>
      <c r="BI610" s="92"/>
      <c r="BJ610" s="989"/>
      <c r="BK610" s="92"/>
      <c r="BL610" s="92"/>
      <c r="BM610" s="92"/>
      <c r="BN610" s="92"/>
      <c r="BO610" s="989"/>
      <c r="BP610" s="989"/>
      <c r="BQ610" s="989"/>
      <c r="BR610" s="989"/>
      <c r="BS610" s="305"/>
    </row>
    <row r="611" spans="1:71" s="300" customFormat="1" ht="15" hidden="1" outlineLevel="1">
      <c r="A611" s="304" t="s">
        <v>33</v>
      </c>
      <c r="B611" s="166"/>
      <c r="C611" s="989"/>
      <c r="D611" s="989"/>
      <c r="E611" s="989"/>
      <c r="F611" s="989"/>
      <c r="G611" s="989"/>
      <c r="H611" s="92"/>
      <c r="I611" s="92"/>
      <c r="J611" s="92"/>
      <c r="K611" s="92"/>
      <c r="L611" s="989"/>
      <c r="M611" s="92"/>
      <c r="N611" s="92"/>
      <c r="O611" s="92"/>
      <c r="P611" s="92"/>
      <c r="Q611" s="989"/>
      <c r="R611" s="92"/>
      <c r="S611" s="92"/>
      <c r="T611" s="92"/>
      <c r="U611" s="92"/>
      <c r="V611" s="989"/>
      <c r="W611" s="92"/>
      <c r="X611" s="92"/>
      <c r="Y611" s="92"/>
      <c r="Z611" s="92"/>
      <c r="AA611" s="989"/>
      <c r="AB611" s="897">
        <v>216</v>
      </c>
      <c r="AC611" s="897">
        <v>228</v>
      </c>
      <c r="AD611" s="897">
        <v>238</v>
      </c>
      <c r="AE611" s="92">
        <f t="shared" si="1965"/>
        <v>257</v>
      </c>
      <c r="AF611" s="988">
        <v>939</v>
      </c>
      <c r="AG611" s="897">
        <v>250</v>
      </c>
      <c r="AH611" s="897">
        <v>271</v>
      </c>
      <c r="AI611" s="897">
        <v>273</v>
      </c>
      <c r="AJ611" s="92">
        <f t="shared" si="1966"/>
        <v>260</v>
      </c>
      <c r="AK611" s="988">
        <v>1054</v>
      </c>
      <c r="AL611" s="897">
        <v>265</v>
      </c>
      <c r="AM611" s="897">
        <v>257</v>
      </c>
      <c r="AN611" s="897">
        <v>272</v>
      </c>
      <c r="AO611" s="897">
        <v>271</v>
      </c>
      <c r="AP611" s="993">
        <f t="shared" si="1967"/>
        <v>1065</v>
      </c>
      <c r="AQ611" s="897">
        <v>555</v>
      </c>
      <c r="AR611" s="897">
        <v>494</v>
      </c>
      <c r="AS611" s="897">
        <v>536</v>
      </c>
      <c r="AT611" s="897">
        <v>587</v>
      </c>
      <c r="AU611" s="993">
        <f t="shared" si="1968"/>
        <v>2172</v>
      </c>
      <c r="AV611" s="897">
        <v>560</v>
      </c>
      <c r="AW611" s="897">
        <v>563</v>
      </c>
      <c r="AX611" s="897">
        <v>561</v>
      </c>
      <c r="AY611" s="897">
        <v>660</v>
      </c>
      <c r="AZ611" s="993">
        <f t="shared" si="1969"/>
        <v>2344</v>
      </c>
      <c r="BA611" s="897">
        <v>561</v>
      </c>
      <c r="BB611" s="897">
        <v>597</v>
      </c>
      <c r="BC611" s="897">
        <v>592</v>
      </c>
      <c r="BD611" s="897">
        <v>650</v>
      </c>
      <c r="BE611" s="993">
        <f t="shared" si="1970"/>
        <v>2400</v>
      </c>
      <c r="BF611" s="897">
        <v>669</v>
      </c>
      <c r="BG611" s="897">
        <v>679</v>
      </c>
      <c r="BH611" s="898">
        <v>781</v>
      </c>
      <c r="BI611" s="92"/>
      <c r="BJ611" s="989"/>
      <c r="BK611" s="92"/>
      <c r="BL611" s="92"/>
      <c r="BM611" s="92"/>
      <c r="BN611" s="92"/>
      <c r="BO611" s="989"/>
      <c r="BP611" s="989"/>
      <c r="BQ611" s="989"/>
      <c r="BR611" s="989"/>
      <c r="BS611" s="305"/>
    </row>
    <row r="612" spans="1:71" s="300" customFormat="1" ht="15" hidden="1" outlineLevel="1">
      <c r="A612" s="304" t="s">
        <v>34</v>
      </c>
      <c r="B612" s="166"/>
      <c r="C612" s="988">
        <v>4444</v>
      </c>
      <c r="D612" s="988">
        <v>4102</v>
      </c>
      <c r="E612" s="988">
        <v>3971</v>
      </c>
      <c r="F612" s="988">
        <v>4010</v>
      </c>
      <c r="G612" s="988">
        <v>3943</v>
      </c>
      <c r="H612" s="897">
        <v>959</v>
      </c>
      <c r="I612" s="897">
        <v>898</v>
      </c>
      <c r="J612" s="897">
        <v>823</v>
      </c>
      <c r="K612" s="92">
        <f>L612-SUM(H612,I612,J612)</f>
        <v>779</v>
      </c>
      <c r="L612" s="988">
        <v>3459</v>
      </c>
      <c r="M612" s="897">
        <v>850</v>
      </c>
      <c r="N612" s="897">
        <v>789</v>
      </c>
      <c r="O612" s="897">
        <v>807</v>
      </c>
      <c r="P612" s="92">
        <f>Q612-SUM(M612,N612,O612)</f>
        <v>710</v>
      </c>
      <c r="Q612" s="988">
        <v>3156</v>
      </c>
      <c r="R612" s="897">
        <v>731</v>
      </c>
      <c r="S612" s="897">
        <v>762</v>
      </c>
      <c r="T612" s="897">
        <v>748</v>
      </c>
      <c r="U612" s="92">
        <f>V612-SUM(R612,S612,T612)</f>
        <v>801</v>
      </c>
      <c r="V612" s="988">
        <v>3042</v>
      </c>
      <c r="W612" s="897">
        <v>748</v>
      </c>
      <c r="X612" s="897">
        <v>897</v>
      </c>
      <c r="Y612" s="897">
        <v>843</v>
      </c>
      <c r="Z612" s="92">
        <f>AA612-SUM(W612,X612,Y612)</f>
        <v>913</v>
      </c>
      <c r="AA612" s="988">
        <v>3401</v>
      </c>
      <c r="AB612" s="897">
        <v>786</v>
      </c>
      <c r="AC612" s="897">
        <v>824</v>
      </c>
      <c r="AD612" s="897">
        <v>844</v>
      </c>
      <c r="AE612" s="92">
        <f t="shared" si="1965"/>
        <v>786</v>
      </c>
      <c r="AF612" s="988">
        <v>3240</v>
      </c>
      <c r="AG612" s="897">
        <v>648</v>
      </c>
      <c r="AH612" s="897">
        <v>942</v>
      </c>
      <c r="AI612" s="897">
        <v>880</v>
      </c>
      <c r="AJ612" s="92">
        <f t="shared" si="1966"/>
        <v>689</v>
      </c>
      <c r="AK612" s="988">
        <v>3159</v>
      </c>
      <c r="AL612" s="897">
        <v>246</v>
      </c>
      <c r="AM612" s="897">
        <v>220</v>
      </c>
      <c r="AN612" s="897">
        <v>464</v>
      </c>
      <c r="AO612" s="897">
        <v>660</v>
      </c>
      <c r="AP612" s="993">
        <f t="shared" si="1967"/>
        <v>1590</v>
      </c>
      <c r="AQ612" s="897">
        <v>708</v>
      </c>
      <c r="AR612" s="897">
        <v>974</v>
      </c>
      <c r="AS612" s="897">
        <v>764</v>
      </c>
      <c r="AT612" s="897">
        <v>847</v>
      </c>
      <c r="AU612" s="993">
        <f t="shared" si="1968"/>
        <v>3293</v>
      </c>
      <c r="AV612" s="897">
        <v>594</v>
      </c>
      <c r="AW612" s="897">
        <v>562</v>
      </c>
      <c r="AX612" s="897">
        <v>690</v>
      </c>
      <c r="AY612" s="897">
        <v>557</v>
      </c>
      <c r="AZ612" s="993">
        <f t="shared" si="1969"/>
        <v>2403</v>
      </c>
      <c r="BA612" s="897">
        <v>575</v>
      </c>
      <c r="BB612" s="897">
        <v>610</v>
      </c>
      <c r="BC612" s="897">
        <v>689</v>
      </c>
      <c r="BD612" s="897">
        <v>604</v>
      </c>
      <c r="BE612" s="993">
        <f t="shared" si="1970"/>
        <v>2478</v>
      </c>
      <c r="BF612" s="897">
        <v>764</v>
      </c>
      <c r="BG612" s="897">
        <v>712</v>
      </c>
      <c r="BH612" s="898">
        <v>783</v>
      </c>
      <c r="BI612" s="92"/>
      <c r="BJ612" s="989"/>
      <c r="BK612" s="92"/>
      <c r="BL612" s="92"/>
      <c r="BM612" s="92"/>
      <c r="BN612" s="92"/>
      <c r="BO612" s="989"/>
      <c r="BP612" s="989"/>
      <c r="BQ612" s="989"/>
      <c r="BR612" s="989"/>
      <c r="BS612" s="305"/>
    </row>
    <row r="613" spans="1:71" s="300" customFormat="1" ht="15" hidden="1" outlineLevel="1">
      <c r="A613" s="225" t="s">
        <v>35</v>
      </c>
      <c r="B613" s="166"/>
      <c r="C613" s="988">
        <v>-2376</v>
      </c>
      <c r="D613" s="988">
        <v>-937</v>
      </c>
      <c r="E613" s="988">
        <v>-563</v>
      </c>
      <c r="F613" s="988">
        <v>-239</v>
      </c>
      <c r="G613" s="988">
        <v>-207</v>
      </c>
      <c r="H613" s="897">
        <v>-80</v>
      </c>
      <c r="I613" s="897">
        <v>-44</v>
      </c>
      <c r="J613" s="897">
        <v>-53</v>
      </c>
      <c r="K613" s="92">
        <f>L613-SUM(H613,I613,J613)</f>
        <v>-65</v>
      </c>
      <c r="L613" s="988">
        <v>-242</v>
      </c>
      <c r="M613" s="897">
        <v>-53</v>
      </c>
      <c r="N613" s="897">
        <v>-47</v>
      </c>
      <c r="O613" s="897">
        <v>-186</v>
      </c>
      <c r="P613" s="92">
        <f>Q613-SUM(M613,N613,O613)</f>
        <v>-166</v>
      </c>
      <c r="Q613" s="988">
        <v>-452</v>
      </c>
      <c r="R613" s="897">
        <v>-91</v>
      </c>
      <c r="S613" s="897">
        <v>-77</v>
      </c>
      <c r="T613" s="897">
        <v>-73</v>
      </c>
      <c r="U613" s="92">
        <f>V613-SUM(R613,S613,T613)</f>
        <v>-72</v>
      </c>
      <c r="V613" s="988">
        <v>-313</v>
      </c>
      <c r="W613" s="897">
        <v>-62</v>
      </c>
      <c r="X613" s="897">
        <v>-47</v>
      </c>
      <c r="Y613" s="897">
        <v>-26</v>
      </c>
      <c r="Z613" s="92">
        <f>AA613-SUM(W613,X613,Y613)</f>
        <v>-11</v>
      </c>
      <c r="AA613" s="988">
        <v>-146</v>
      </c>
      <c r="AB613" s="92"/>
      <c r="AC613" s="897">
        <v>-4</v>
      </c>
      <c r="AD613" s="897">
        <v>-4</v>
      </c>
      <c r="AE613" s="92">
        <f t="shared" si="1965"/>
        <v>-5</v>
      </c>
      <c r="AF613" s="988">
        <v>-13</v>
      </c>
      <c r="AG613" s="897">
        <v>-16</v>
      </c>
      <c r="AH613" s="897">
        <v>-12</v>
      </c>
      <c r="AI613" s="897">
        <v>-16</v>
      </c>
      <c r="AJ613" s="92">
        <f t="shared" si="1966"/>
        <v>-4</v>
      </c>
      <c r="AK613" s="988">
        <v>-48</v>
      </c>
      <c r="AL613" s="92"/>
      <c r="AM613" s="92"/>
      <c r="AN613" s="92"/>
      <c r="AO613" s="92"/>
      <c r="AP613" s="989">
        <f t="shared" si="1967"/>
        <v>0</v>
      </c>
      <c r="AQ613" s="92"/>
      <c r="AR613" s="92"/>
      <c r="AS613" s="92"/>
      <c r="AT613" s="92"/>
      <c r="AU613" s="989">
        <f t="shared" si="1968"/>
        <v>0</v>
      </c>
      <c r="AV613" s="92"/>
      <c r="AW613" s="92"/>
      <c r="AX613" s="92"/>
      <c r="AY613" s="92"/>
      <c r="AZ613" s="989">
        <f t="shared" si="1969"/>
        <v>0</v>
      </c>
      <c r="BA613" s="92"/>
      <c r="BB613" s="92"/>
      <c r="BC613" s="92"/>
      <c r="BD613" s="92"/>
      <c r="BE613" s="989">
        <f t="shared" si="1970"/>
        <v>0</v>
      </c>
      <c r="BF613" s="92"/>
      <c r="BG613" s="92"/>
      <c r="BH613" s="464"/>
      <c r="BI613" s="92"/>
      <c r="BJ613" s="989"/>
      <c r="BK613" s="92"/>
      <c r="BL613" s="92"/>
      <c r="BM613" s="92"/>
      <c r="BN613" s="92"/>
      <c r="BO613" s="989"/>
      <c r="BP613" s="989"/>
      <c r="BQ613" s="989"/>
      <c r="BR613" s="989"/>
      <c r="BS613" s="305"/>
    </row>
    <row r="614" spans="1:71" s="300" customFormat="1" ht="15" hidden="1" outlineLevel="1">
      <c r="A614" s="165" t="s">
        <v>36</v>
      </c>
      <c r="B614" s="395"/>
      <c r="C614" s="990">
        <v>457</v>
      </c>
      <c r="D614" s="990">
        <v>-64</v>
      </c>
      <c r="E614" s="990">
        <v>-33</v>
      </c>
      <c r="F614" s="990">
        <v>6</v>
      </c>
      <c r="G614" s="990">
        <v>-8</v>
      </c>
      <c r="H614" s="900">
        <v>-1</v>
      </c>
      <c r="I614" s="900">
        <v>-1</v>
      </c>
      <c r="J614" s="900">
        <v>0</v>
      </c>
      <c r="K614" s="115">
        <f>L614-SUM(H614,I614,J614)</f>
        <v>-1</v>
      </c>
      <c r="L614" s="990">
        <v>-3</v>
      </c>
      <c r="M614" s="900">
        <v>4</v>
      </c>
      <c r="N614" s="900">
        <v>4</v>
      </c>
      <c r="O614" s="900">
        <v>12</v>
      </c>
      <c r="P614" s="115">
        <f>Q614-SUM(M614,N614,O614)</f>
        <v>16</v>
      </c>
      <c r="Q614" s="990">
        <v>36</v>
      </c>
      <c r="R614" s="900">
        <v>10</v>
      </c>
      <c r="S614" s="900">
        <v>-2</v>
      </c>
      <c r="T614" s="900">
        <v>0</v>
      </c>
      <c r="U614" s="115">
        <f>V614-SUM(R614,S614,T614)</f>
        <v>2</v>
      </c>
      <c r="V614" s="990">
        <v>10</v>
      </c>
      <c r="W614" s="900">
        <v>3</v>
      </c>
      <c r="X614" s="900">
        <v>-3</v>
      </c>
      <c r="Y614" s="900">
        <v>-2</v>
      </c>
      <c r="Z614" s="115">
        <f>AA614-SUM(W614,X614,Y614)</f>
        <v>-2</v>
      </c>
      <c r="AA614" s="990">
        <v>-4</v>
      </c>
      <c r="AB614" s="900">
        <v>-1</v>
      </c>
      <c r="AC614" s="900">
        <v>0</v>
      </c>
      <c r="AD614" s="900">
        <v>-1</v>
      </c>
      <c r="AE614" s="115">
        <f t="shared" si="1965"/>
        <v>1</v>
      </c>
      <c r="AF614" s="990">
        <v>-1</v>
      </c>
      <c r="AG614" s="900">
        <v>2</v>
      </c>
      <c r="AH614" s="900">
        <v>-3</v>
      </c>
      <c r="AI614" s="900">
        <v>2</v>
      </c>
      <c r="AJ614" s="115">
        <f t="shared" si="1966"/>
        <v>0</v>
      </c>
      <c r="AK614" s="990">
        <v>1</v>
      </c>
      <c r="AL614" s="115"/>
      <c r="AM614" s="115"/>
      <c r="AN614" s="115"/>
      <c r="AO614" s="115"/>
      <c r="AP614" s="995">
        <f t="shared" si="1967"/>
        <v>0</v>
      </c>
      <c r="AQ614" s="115"/>
      <c r="AR614" s="115"/>
      <c r="AS614" s="115"/>
      <c r="AT614" s="115"/>
      <c r="AU614" s="995">
        <f t="shared" si="1968"/>
        <v>0</v>
      </c>
      <c r="AV614" s="115"/>
      <c r="AW614" s="115"/>
      <c r="AX614" s="115"/>
      <c r="AY614" s="115"/>
      <c r="AZ614" s="995">
        <f t="shared" si="1969"/>
        <v>0</v>
      </c>
      <c r="BA614" s="115"/>
      <c r="BB614" s="115"/>
      <c r="BC614" s="115"/>
      <c r="BD614" s="115"/>
      <c r="BE614" s="995">
        <f t="shared" si="1970"/>
        <v>0</v>
      </c>
      <c r="BF614" s="115"/>
      <c r="BG614" s="115"/>
      <c r="BH614" s="641"/>
      <c r="BI614" s="115"/>
      <c r="BJ614" s="995"/>
      <c r="BK614" s="115"/>
      <c r="BL614" s="115"/>
      <c r="BM614" s="115"/>
      <c r="BN614" s="115"/>
      <c r="BO614" s="995"/>
      <c r="BP614" s="995"/>
      <c r="BQ614" s="995"/>
      <c r="BR614" s="995"/>
      <c r="BS614" s="305"/>
    </row>
    <row r="615" spans="1:71" s="300" customFormat="1" ht="15" hidden="1" outlineLevel="1">
      <c r="A615" s="106" t="s">
        <v>37</v>
      </c>
      <c r="B615" s="166"/>
      <c r="C615" s="993">
        <f t="shared" si="1971" ref="C615:AK615">SUM(C613:C614)</f>
        <v>-1919</v>
      </c>
      <c r="D615" s="993">
        <f t="shared" si="1971"/>
        <v>-1001</v>
      </c>
      <c r="E615" s="993">
        <f t="shared" si="1971"/>
        <v>-596</v>
      </c>
      <c r="F615" s="993">
        <f t="shared" si="1971"/>
        <v>-233</v>
      </c>
      <c r="G615" s="993">
        <f t="shared" si="1971"/>
        <v>-215</v>
      </c>
      <c r="H615" s="305">
        <f t="shared" si="1971"/>
        <v>-81</v>
      </c>
      <c r="I615" s="305">
        <f t="shared" si="1971"/>
        <v>-45</v>
      </c>
      <c r="J615" s="305">
        <f t="shared" si="1971"/>
        <v>-53</v>
      </c>
      <c r="K615" s="92">
        <f t="shared" si="1971"/>
        <v>-66</v>
      </c>
      <c r="L615" s="993">
        <f t="shared" si="1971"/>
        <v>-245</v>
      </c>
      <c r="M615" s="305">
        <f t="shared" si="1971"/>
        <v>-49</v>
      </c>
      <c r="N615" s="305">
        <f t="shared" si="1971"/>
        <v>-43</v>
      </c>
      <c r="O615" s="305">
        <f t="shared" si="1971"/>
        <v>-174</v>
      </c>
      <c r="P615" s="92">
        <f t="shared" si="1971"/>
        <v>-150</v>
      </c>
      <c r="Q615" s="993">
        <f t="shared" si="1971"/>
        <v>-416</v>
      </c>
      <c r="R615" s="305">
        <f t="shared" si="1971"/>
        <v>-81</v>
      </c>
      <c r="S615" s="305">
        <f t="shared" si="1971"/>
        <v>-79</v>
      </c>
      <c r="T615" s="305">
        <f t="shared" si="1971"/>
        <v>-73</v>
      </c>
      <c r="U615" s="92">
        <f t="shared" si="1971"/>
        <v>-70</v>
      </c>
      <c r="V615" s="993">
        <f t="shared" si="1971"/>
        <v>-303</v>
      </c>
      <c r="W615" s="305">
        <f t="shared" si="1971"/>
        <v>-59</v>
      </c>
      <c r="X615" s="305">
        <f t="shared" si="1971"/>
        <v>-50</v>
      </c>
      <c r="Y615" s="305">
        <f t="shared" si="1971"/>
        <v>-28</v>
      </c>
      <c r="Z615" s="92">
        <f t="shared" si="1971"/>
        <v>-13</v>
      </c>
      <c r="AA615" s="993">
        <f t="shared" si="1971"/>
        <v>-150</v>
      </c>
      <c r="AB615" s="305">
        <f t="shared" si="1971"/>
        <v>-1</v>
      </c>
      <c r="AC615" s="305">
        <f t="shared" si="1971"/>
        <v>-4</v>
      </c>
      <c r="AD615" s="305">
        <f t="shared" si="1971"/>
        <v>-5</v>
      </c>
      <c r="AE615" s="92">
        <f t="shared" si="1971"/>
        <v>-4</v>
      </c>
      <c r="AF615" s="993">
        <f t="shared" si="1971"/>
        <v>-14</v>
      </c>
      <c r="AG615" s="305">
        <f t="shared" si="1971"/>
        <v>-14</v>
      </c>
      <c r="AH615" s="305">
        <f t="shared" si="1971"/>
        <v>-15</v>
      </c>
      <c r="AI615" s="305">
        <f t="shared" si="1971"/>
        <v>-14</v>
      </c>
      <c r="AJ615" s="92">
        <f t="shared" si="1971"/>
        <v>-4</v>
      </c>
      <c r="AK615" s="993">
        <f t="shared" si="1971"/>
        <v>-47</v>
      </c>
      <c r="AL615" s="92"/>
      <c r="AM615" s="92"/>
      <c r="AN615" s="92"/>
      <c r="AO615" s="92"/>
      <c r="AP615" s="989"/>
      <c r="AQ615" s="92"/>
      <c r="AR615" s="92"/>
      <c r="AS615" s="92"/>
      <c r="AT615" s="92"/>
      <c r="AU615" s="989"/>
      <c r="AV615" s="92"/>
      <c r="AW615" s="92"/>
      <c r="AX615" s="92"/>
      <c r="AY615" s="92"/>
      <c r="AZ615" s="989"/>
      <c r="BA615" s="92"/>
      <c r="BB615" s="92"/>
      <c r="BC615" s="92"/>
      <c r="BD615" s="92"/>
      <c r="BE615" s="989"/>
      <c r="BF615" s="92"/>
      <c r="BG615" s="92"/>
      <c r="BH615" s="464"/>
      <c r="BI615" s="92"/>
      <c r="BJ615" s="989"/>
      <c r="BK615" s="92"/>
      <c r="BL615" s="92"/>
      <c r="BM615" s="92"/>
      <c r="BN615" s="92"/>
      <c r="BO615" s="989"/>
      <c r="BP615" s="989"/>
      <c r="BQ615" s="989"/>
      <c r="BR615" s="989"/>
      <c r="BS615" s="305"/>
    </row>
    <row r="616" spans="1:71" s="300" customFormat="1" ht="15" hidden="1" outlineLevel="1">
      <c r="A616" s="165" t="s">
        <v>38</v>
      </c>
      <c r="B616" s="395"/>
      <c r="C616" s="990">
        <v>1336</v>
      </c>
      <c r="D616" s="990">
        <v>174</v>
      </c>
      <c r="E616" s="990">
        <v>1099</v>
      </c>
      <c r="F616" s="990">
        <v>560</v>
      </c>
      <c r="G616" s="990">
        <v>809</v>
      </c>
      <c r="H616" s="900">
        <v>135</v>
      </c>
      <c r="I616" s="900">
        <v>285</v>
      </c>
      <c r="J616" s="900">
        <v>347</v>
      </c>
      <c r="K616" s="115">
        <f>L616-SUM(H616,I616,J616)</f>
        <v>172</v>
      </c>
      <c r="L616" s="990">
        <v>939</v>
      </c>
      <c r="M616" s="900">
        <v>188</v>
      </c>
      <c r="N616" s="900">
        <v>151</v>
      </c>
      <c r="O616" s="900">
        <v>207</v>
      </c>
      <c r="P616" s="115">
        <f>Q616-SUM(M616,N616,O616)</f>
        <v>-100</v>
      </c>
      <c r="Q616" s="990">
        <v>446</v>
      </c>
      <c r="R616" s="900">
        <v>-68</v>
      </c>
      <c r="S616" s="900">
        <v>103</v>
      </c>
      <c r="T616" s="900">
        <v>106</v>
      </c>
      <c r="U616" s="115">
        <f>V616-SUM(R616,S616,T616)</f>
        <v>72</v>
      </c>
      <c r="V616" s="990">
        <v>213</v>
      </c>
      <c r="W616" s="900">
        <v>193</v>
      </c>
      <c r="X616" s="900">
        <v>131</v>
      </c>
      <c r="Y616" s="900">
        <v>131</v>
      </c>
      <c r="Z616" s="115">
        <f>AA616-SUM(W616,X616,Y616)</f>
        <v>140</v>
      </c>
      <c r="AA616" s="990">
        <v>595</v>
      </c>
      <c r="AB616" s="900">
        <v>-133</v>
      </c>
      <c r="AC616" s="900">
        <v>-21</v>
      </c>
      <c r="AD616" s="900">
        <v>181</v>
      </c>
      <c r="AE616" s="115">
        <f>AF616-SUM(AB616,AC616,AD616)</f>
        <v>-890</v>
      </c>
      <c r="AF616" s="990">
        <v>-863</v>
      </c>
      <c r="AG616" s="900">
        <v>676</v>
      </c>
      <c r="AH616" s="900">
        <v>339</v>
      </c>
      <c r="AI616" s="900">
        <v>211</v>
      </c>
      <c r="AJ616" s="115">
        <f>AK616-SUM(AG616,AH616,AI616)</f>
        <v>706</v>
      </c>
      <c r="AK616" s="990">
        <v>1932</v>
      </c>
      <c r="AL616" s="115"/>
      <c r="AM616" s="115"/>
      <c r="AN616" s="115"/>
      <c r="AO616" s="115"/>
      <c r="AP616" s="995"/>
      <c r="AQ616" s="115"/>
      <c r="AR616" s="115"/>
      <c r="AS616" s="115"/>
      <c r="AT616" s="115"/>
      <c r="AU616" s="995"/>
      <c r="AV616" s="115"/>
      <c r="AW616" s="115"/>
      <c r="AX616" s="115"/>
      <c r="AY616" s="115"/>
      <c r="AZ616" s="995"/>
      <c r="BA616" s="115"/>
      <c r="BB616" s="115"/>
      <c r="BC616" s="115"/>
      <c r="BD616" s="115"/>
      <c r="BE616" s="989"/>
      <c r="BF616" s="115"/>
      <c r="BG616" s="115"/>
      <c r="BH616" s="641"/>
      <c r="BI616" s="115"/>
      <c r="BJ616" s="995"/>
      <c r="BK616" s="115"/>
      <c r="BL616" s="115"/>
      <c r="BM616" s="115"/>
      <c r="BN616" s="115"/>
      <c r="BO616" s="995"/>
      <c r="BP616" s="995"/>
      <c r="BQ616" s="995"/>
      <c r="BR616" s="995"/>
      <c r="BS616" s="305"/>
    </row>
    <row r="617" spans="1:71" s="300" customFormat="1" ht="15" hidden="1" outlineLevel="1">
      <c r="A617" s="106" t="s">
        <v>39</v>
      </c>
      <c r="B617" s="166"/>
      <c r="C617" s="993">
        <f t="shared" si="1972" ref="C617:AK617">C616+C615</f>
        <v>-583</v>
      </c>
      <c r="D617" s="993">
        <f t="shared" si="1972"/>
        <v>-827</v>
      </c>
      <c r="E617" s="993">
        <f t="shared" si="1972"/>
        <v>503</v>
      </c>
      <c r="F617" s="993">
        <f t="shared" si="1972"/>
        <v>327</v>
      </c>
      <c r="G617" s="993">
        <f t="shared" si="1972"/>
        <v>594</v>
      </c>
      <c r="H617" s="305">
        <f t="shared" si="1972"/>
        <v>54</v>
      </c>
      <c r="I617" s="305">
        <f t="shared" si="1972"/>
        <v>240</v>
      </c>
      <c r="J617" s="305">
        <f t="shared" si="1972"/>
        <v>294</v>
      </c>
      <c r="K617" s="92">
        <f t="shared" si="1972"/>
        <v>106</v>
      </c>
      <c r="L617" s="993">
        <f t="shared" si="1972"/>
        <v>694</v>
      </c>
      <c r="M617" s="305">
        <f t="shared" si="1972"/>
        <v>139</v>
      </c>
      <c r="N617" s="305">
        <f t="shared" si="1972"/>
        <v>108</v>
      </c>
      <c r="O617" s="305">
        <f t="shared" si="1972"/>
        <v>33</v>
      </c>
      <c r="P617" s="92">
        <f t="shared" si="1972"/>
        <v>-250</v>
      </c>
      <c r="Q617" s="993">
        <f t="shared" si="1972"/>
        <v>30</v>
      </c>
      <c r="R617" s="305">
        <f t="shared" si="1972"/>
        <v>-149</v>
      </c>
      <c r="S617" s="305">
        <f t="shared" si="1972"/>
        <v>24</v>
      </c>
      <c r="T617" s="305">
        <f t="shared" si="1972"/>
        <v>33</v>
      </c>
      <c r="U617" s="92">
        <f t="shared" si="1972"/>
        <v>2</v>
      </c>
      <c r="V617" s="993">
        <f t="shared" si="1972"/>
        <v>-90</v>
      </c>
      <c r="W617" s="305">
        <f t="shared" si="1972"/>
        <v>134</v>
      </c>
      <c r="X617" s="305">
        <f t="shared" si="1972"/>
        <v>81</v>
      </c>
      <c r="Y617" s="305">
        <f t="shared" si="1972"/>
        <v>103</v>
      </c>
      <c r="Z617" s="92">
        <f t="shared" si="1972"/>
        <v>127</v>
      </c>
      <c r="AA617" s="993">
        <f t="shared" si="1972"/>
        <v>445</v>
      </c>
      <c r="AB617" s="305">
        <f t="shared" si="1972"/>
        <v>-134</v>
      </c>
      <c r="AC617" s="305">
        <f t="shared" si="1972"/>
        <v>-25</v>
      </c>
      <c r="AD617" s="305">
        <f t="shared" si="1972"/>
        <v>176</v>
      </c>
      <c r="AE617" s="92">
        <f t="shared" si="1972"/>
        <v>-894</v>
      </c>
      <c r="AF617" s="993">
        <f t="shared" si="1972"/>
        <v>-877</v>
      </c>
      <c r="AG617" s="305">
        <f t="shared" si="1972"/>
        <v>662</v>
      </c>
      <c r="AH617" s="305">
        <f t="shared" si="1972"/>
        <v>324</v>
      </c>
      <c r="AI617" s="305">
        <f t="shared" si="1972"/>
        <v>197</v>
      </c>
      <c r="AJ617" s="92">
        <f t="shared" si="1972"/>
        <v>702</v>
      </c>
      <c r="AK617" s="993">
        <f t="shared" si="1972"/>
        <v>1885</v>
      </c>
      <c r="AL617" s="897">
        <v>-162</v>
      </c>
      <c r="AM617" s="897">
        <v>440</v>
      </c>
      <c r="AN617" s="897">
        <v>319</v>
      </c>
      <c r="AO617" s="897">
        <v>490</v>
      </c>
      <c r="AP617" s="993">
        <f>SUM(AL617,AM617,AN617,AO617)</f>
        <v>1087</v>
      </c>
      <c r="AQ617" s="897">
        <v>426</v>
      </c>
      <c r="AR617" s="897">
        <v>287</v>
      </c>
      <c r="AS617" s="897">
        <v>105</v>
      </c>
      <c r="AT617" s="897">
        <v>266</v>
      </c>
      <c r="AU617" s="993">
        <f>SUM(AQ617,AR617,AS617,AT617)</f>
        <v>1084</v>
      </c>
      <c r="AV617" s="897">
        <v>-267</v>
      </c>
      <c r="AW617" s="897">
        <v>-733</v>
      </c>
      <c r="AX617" s="897">
        <v>-167</v>
      </c>
      <c r="AY617" s="897">
        <v>95</v>
      </c>
      <c r="AZ617" s="993">
        <f>SUM(AV617,AW617,AX617,AY617)</f>
        <v>-1072</v>
      </c>
      <c r="BA617" s="897">
        <v>14</v>
      </c>
      <c r="BB617" s="897">
        <v>-151</v>
      </c>
      <c r="BC617" s="897">
        <v>-86</v>
      </c>
      <c r="BD617" s="897">
        <v>-77</v>
      </c>
      <c r="BE617" s="992">
        <f>SUM(BA617,BB617,BC617,BD617)</f>
        <v>-300</v>
      </c>
      <c r="BF617" s="897">
        <v>-164</v>
      </c>
      <c r="BG617" s="897">
        <v>-103</v>
      </c>
      <c r="BH617" s="898">
        <v>243</v>
      </c>
      <c r="BI617" s="92"/>
      <c r="BJ617" s="989"/>
      <c r="BK617" s="92"/>
      <c r="BL617" s="92"/>
      <c r="BM617" s="92"/>
      <c r="BN617" s="92"/>
      <c r="BO617" s="989"/>
      <c r="BP617" s="989"/>
      <c r="BQ617" s="989"/>
      <c r="BR617" s="989"/>
      <c r="BS617" s="305"/>
    </row>
    <row r="618" spans="1:71" s="51" customFormat="1" ht="15" hidden="1" outlineLevel="1">
      <c r="A618" s="87" t="s">
        <v>40</v>
      </c>
      <c r="B618" s="506"/>
      <c r="C618" s="996">
        <f t="shared" si="1973" ref="C618:AK618">SUM(C609:C612)+C617</f>
        <v>32013</v>
      </c>
      <c r="D618" s="996">
        <f t="shared" si="1973"/>
        <v>31400</v>
      </c>
      <c r="E618" s="996">
        <f t="shared" si="1973"/>
        <v>32654</v>
      </c>
      <c r="F618" s="996">
        <f t="shared" si="1973"/>
        <v>33315</v>
      </c>
      <c r="G618" s="996">
        <f t="shared" si="1973"/>
        <v>34507</v>
      </c>
      <c r="H618" s="89">
        <f t="shared" si="1973"/>
        <v>8684</v>
      </c>
      <c r="I618" s="89">
        <f t="shared" si="1973"/>
        <v>8860</v>
      </c>
      <c r="J618" s="89">
        <f t="shared" si="1973"/>
        <v>8936</v>
      </c>
      <c r="K618" s="89">
        <f t="shared" si="1973"/>
        <v>8759</v>
      </c>
      <c r="L618" s="996">
        <f t="shared" si="1973"/>
        <v>35239</v>
      </c>
      <c r="M618" s="89">
        <f t="shared" si="1973"/>
        <v>8952</v>
      </c>
      <c r="N618" s="89">
        <f t="shared" si="1973"/>
        <v>8982</v>
      </c>
      <c r="O618" s="89">
        <f t="shared" si="1973"/>
        <v>9028</v>
      </c>
      <c r="P618" s="89">
        <f t="shared" si="1973"/>
        <v>8691</v>
      </c>
      <c r="Q618" s="996">
        <f t="shared" si="1973"/>
        <v>35653</v>
      </c>
      <c r="R618" s="89">
        <f t="shared" si="1973"/>
        <v>8871</v>
      </c>
      <c r="S618" s="89">
        <f t="shared" si="1973"/>
        <v>9164</v>
      </c>
      <c r="T618" s="89">
        <f t="shared" si="1973"/>
        <v>9221</v>
      </c>
      <c r="U618" s="89">
        <f t="shared" si="1973"/>
        <v>9278</v>
      </c>
      <c r="V618" s="996">
        <f t="shared" si="1973"/>
        <v>36534</v>
      </c>
      <c r="W618" s="89">
        <f t="shared" si="1973"/>
        <v>9434</v>
      </c>
      <c r="X618" s="89">
        <f t="shared" si="1973"/>
        <v>9587</v>
      </c>
      <c r="Y618" s="89">
        <f t="shared" si="1973"/>
        <v>9660</v>
      </c>
      <c r="Z618" s="89">
        <f t="shared" si="1973"/>
        <v>9843</v>
      </c>
      <c r="AA618" s="996">
        <f t="shared" si="1973"/>
        <v>38524</v>
      </c>
      <c r="AB618" s="89">
        <f t="shared" si="1973"/>
        <v>9770</v>
      </c>
      <c r="AC618" s="89">
        <f t="shared" si="1973"/>
        <v>10099</v>
      </c>
      <c r="AD618" s="89">
        <f t="shared" si="1973"/>
        <v>10465</v>
      </c>
      <c r="AE618" s="89">
        <f t="shared" si="1973"/>
        <v>9481</v>
      </c>
      <c r="AF618" s="996">
        <f t="shared" si="1973"/>
        <v>39815</v>
      </c>
      <c r="AG618" s="89">
        <f t="shared" si="1973"/>
        <v>10990</v>
      </c>
      <c r="AH618" s="89">
        <f t="shared" si="1973"/>
        <v>11144</v>
      </c>
      <c r="AI618" s="89">
        <f t="shared" si="1973"/>
        <v>11069</v>
      </c>
      <c r="AJ618" s="89">
        <f t="shared" si="1973"/>
        <v>11472</v>
      </c>
      <c r="AK618" s="996">
        <f t="shared" si="1973"/>
        <v>44675</v>
      </c>
      <c r="AL618" s="89">
        <f>SUM(AL609:AL612)+AL617</f>
        <v>9866</v>
      </c>
      <c r="AM618" s="89">
        <f>SUM(AM609:AM612)+AM617</f>
        <v>10403</v>
      </c>
      <c r="AN618" s="89">
        <f>SUM(AN609:AN612)+AN617</f>
        <v>10678</v>
      </c>
      <c r="AO618" s="89">
        <f t="shared" si="1974" ref="AO618:AP618">SUM(AO609:AO612)+AO617</f>
        <v>10962</v>
      </c>
      <c r="AP618" s="996">
        <f t="shared" si="1974"/>
        <v>41909</v>
      </c>
      <c r="AQ618" s="89">
        <f t="shared" si="1975" ref="AQ618:AV618">SUM(AQ609:AQ612)+AQ617</f>
        <v>12451</v>
      </c>
      <c r="AR618" s="89">
        <f t="shared" si="1975"/>
        <v>12646</v>
      </c>
      <c r="AS618" s="89">
        <f t="shared" si="1975"/>
        <v>12480</v>
      </c>
      <c r="AT618" s="89">
        <f t="shared" si="1975"/>
        <v>13011</v>
      </c>
      <c r="AU618" s="996">
        <f t="shared" si="1975"/>
        <v>50588</v>
      </c>
      <c r="AV618" s="89">
        <f t="shared" si="1975"/>
        <v>12336</v>
      </c>
      <c r="AW618" s="89">
        <f t="shared" si="1976" ref="AW618:BJ618">SUM(AW609:AW612)+AW617</f>
        <v>12219</v>
      </c>
      <c r="AX618" s="89">
        <f t="shared" si="1976"/>
        <v>13208</v>
      </c>
      <c r="AY618" s="89">
        <f t="shared" si="1976"/>
        <v>13648</v>
      </c>
      <c r="AZ618" s="996">
        <f t="shared" si="1976"/>
        <v>51411</v>
      </c>
      <c r="BA618" s="89">
        <f t="shared" si="1977" ref="BA618:BI618">SUM(BA609:BA612)+BA617</f>
        <v>13786</v>
      </c>
      <c r="BB618" s="89">
        <f t="shared" si="1977"/>
        <v>13979</v>
      </c>
      <c r="BC618" s="89">
        <f t="shared" si="1977"/>
        <v>14497</v>
      </c>
      <c r="BD618" s="89">
        <f t="shared" si="1977"/>
        <v>14832</v>
      </c>
      <c r="BE618" s="996">
        <f t="shared" si="1977"/>
        <v>57094</v>
      </c>
      <c r="BF618" s="89">
        <f>SUM(BF609:BF612)+BF617</f>
        <v>15259</v>
      </c>
      <c r="BG618" s="89">
        <f>SUM(BG609:BG612)+BG617</f>
        <v>15714</v>
      </c>
      <c r="BH618" s="742">
        <f>SUM(BH609:BH612)+BH617</f>
        <v>16627</v>
      </c>
      <c r="BI618" s="90">
        <f t="shared" si="1977"/>
        <v>0</v>
      </c>
      <c r="BJ618" s="997">
        <f t="shared" si="1976"/>
        <v>0</v>
      </c>
      <c r="BK618" s="90">
        <f t="shared" si="1978" ref="BK618:BR618">SUM(BK609:BK612)+BK617</f>
        <v>0</v>
      </c>
      <c r="BL618" s="90">
        <f t="shared" si="1978"/>
        <v>0</v>
      </c>
      <c r="BM618" s="90">
        <f t="shared" si="1978"/>
        <v>0</v>
      </c>
      <c r="BN618" s="90">
        <f t="shared" si="1978"/>
        <v>0</v>
      </c>
      <c r="BO618" s="997">
        <f t="shared" si="1978"/>
        <v>0</v>
      </c>
      <c r="BP618" s="997">
        <f t="shared" si="1978"/>
        <v>0</v>
      </c>
      <c r="BQ618" s="997">
        <f t="shared" si="1978"/>
        <v>0</v>
      </c>
      <c r="BR618" s="997">
        <f t="shared" si="1978"/>
        <v>0</v>
      </c>
      <c r="BS618" s="57"/>
    </row>
    <row r="619" spans="1:71" s="300" customFormat="1" ht="15" hidden="1" outlineLevel="1">
      <c r="A619" s="304" t="s">
        <v>41</v>
      </c>
      <c r="B619" s="166"/>
      <c r="C619" s="988">
        <v>18746</v>
      </c>
      <c r="D619" s="988">
        <v>18951</v>
      </c>
      <c r="E619" s="988">
        <v>20161</v>
      </c>
      <c r="F619" s="988">
        <v>18484</v>
      </c>
      <c r="G619" s="988">
        <v>17911</v>
      </c>
      <c r="H619" s="897">
        <v>4759</v>
      </c>
      <c r="I619" s="897">
        <v>5142</v>
      </c>
      <c r="J619" s="897">
        <v>4909</v>
      </c>
      <c r="K619" s="92">
        <f>L619-SUM(H619,I619,J619)</f>
        <v>4618</v>
      </c>
      <c r="L619" s="988">
        <v>19428</v>
      </c>
      <c r="M619" s="897">
        <v>4993</v>
      </c>
      <c r="N619" s="897">
        <v>5587</v>
      </c>
      <c r="O619" s="897">
        <v>5255</v>
      </c>
      <c r="P619" s="92">
        <f>Q619-O619-N619-M619</f>
        <v>5199</v>
      </c>
      <c r="Q619" s="988">
        <v>21034</v>
      </c>
      <c r="R619" s="897">
        <v>5684</v>
      </c>
      <c r="S619" s="897">
        <v>5901</v>
      </c>
      <c r="T619" s="897">
        <v>5553</v>
      </c>
      <c r="U619" s="92">
        <f>V619-SUM(R619,S619,T619)</f>
        <v>5083</v>
      </c>
      <c r="V619" s="988">
        <v>22221</v>
      </c>
      <c r="W619" s="897">
        <v>5416</v>
      </c>
      <c r="X619" s="897">
        <v>5689</v>
      </c>
      <c r="Y619" s="897">
        <v>5545</v>
      </c>
      <c r="Z619" s="92">
        <f>AA619-SUM(W619,X619,Y619)</f>
        <v>5279</v>
      </c>
      <c r="AA619" s="988">
        <v>21929</v>
      </c>
      <c r="AB619" s="897">
        <v>5149</v>
      </c>
      <c r="AC619" s="897">
        <v>5792</v>
      </c>
      <c r="AD619" s="897">
        <v>5817</v>
      </c>
      <c r="AE619" s="92">
        <f>AF619-SUM(AB619,AC619,AD619)</f>
        <v>6081</v>
      </c>
      <c r="AF619" s="988">
        <v>22839</v>
      </c>
      <c r="AG619" s="897">
        <v>5820</v>
      </c>
      <c r="AH619" s="897">
        <v>6356</v>
      </c>
      <c r="AI619" s="897">
        <v>6051</v>
      </c>
      <c r="AJ619" s="92">
        <f>AK619-SUM(AG619,AH619,AI619)</f>
        <v>5749</v>
      </c>
      <c r="AK619" s="988">
        <v>23976</v>
      </c>
      <c r="AL619" s="897">
        <v>5341</v>
      </c>
      <c r="AM619" s="897">
        <v>5222</v>
      </c>
      <c r="AN619" s="897">
        <v>6072</v>
      </c>
      <c r="AO619" s="897">
        <v>5366</v>
      </c>
      <c r="AP619" s="993">
        <f t="shared" si="1979" ref="AP619:AP630">SUM(AL619,AM619,AN619,AO619)</f>
        <v>22001</v>
      </c>
      <c r="AQ619" s="897">
        <v>6043</v>
      </c>
      <c r="AR619" s="897">
        <v>7207</v>
      </c>
      <c r="AS619" s="897">
        <v>8264</v>
      </c>
      <c r="AT619" s="897">
        <v>7804</v>
      </c>
      <c r="AU619" s="993">
        <f t="shared" si="1980" ref="AU619:AU630">SUM(AQ619,AR619,AS619,AT619)</f>
        <v>29318</v>
      </c>
      <c r="AV619" s="897">
        <v>7822</v>
      </c>
      <c r="AW619" s="897">
        <v>9367</v>
      </c>
      <c r="AX619" s="897">
        <v>10073</v>
      </c>
      <c r="AY619" s="897">
        <v>10002</v>
      </c>
      <c r="AZ619" s="993">
        <f t="shared" si="1981" ref="AZ619:AZ630">SUM(AV619,AW619,AX619,AY619)</f>
        <v>37264</v>
      </c>
      <c r="BA619" s="897">
        <v>10326</v>
      </c>
      <c r="BB619" s="897">
        <v>11727</v>
      </c>
      <c r="BC619" s="897">
        <v>10237</v>
      </c>
      <c r="BD619" s="897">
        <v>8780</v>
      </c>
      <c r="BE619" s="993">
        <f t="shared" si="1982" ref="BE619:BE630">SUM(BA619,BB619,BC619,BD619)</f>
        <v>41070</v>
      </c>
      <c r="BF619" s="897">
        <v>9501</v>
      </c>
      <c r="BG619" s="897">
        <v>10801</v>
      </c>
      <c r="BH619" s="898">
        <v>10409</v>
      </c>
      <c r="BI619" s="92"/>
      <c r="BJ619" s="989"/>
      <c r="BK619" s="92"/>
      <c r="BL619" s="92"/>
      <c r="BM619" s="92"/>
      <c r="BN619" s="92"/>
      <c r="BO619" s="989"/>
      <c r="BP619" s="989"/>
      <c r="BQ619" s="989"/>
      <c r="BR619" s="989"/>
      <c r="BS619" s="305"/>
    </row>
    <row r="620" spans="1:71" s="300" customFormat="1" ht="15" hidden="1" outlineLevel="1">
      <c r="A620" s="304" t="s">
        <v>366</v>
      </c>
      <c r="B620" s="166"/>
      <c r="C620" s="989"/>
      <c r="D620" s="989"/>
      <c r="E620" s="989"/>
      <c r="F620" s="989"/>
      <c r="G620" s="989"/>
      <c r="H620" s="92"/>
      <c r="I620" s="92"/>
      <c r="J620" s="92"/>
      <c r="K620" s="92"/>
      <c r="L620" s="989"/>
      <c r="M620" s="92"/>
      <c r="N620" s="92"/>
      <c r="O620" s="92"/>
      <c r="P620" s="92"/>
      <c r="Q620" s="989"/>
      <c r="R620" s="92"/>
      <c r="S620" s="92"/>
      <c r="T620" s="92"/>
      <c r="U620" s="92"/>
      <c r="V620" s="989"/>
      <c r="W620" s="92"/>
      <c r="X620" s="92"/>
      <c r="Y620" s="92"/>
      <c r="Z620" s="92"/>
      <c r="AA620" s="989"/>
      <c r="AB620" s="92"/>
      <c r="AC620" s="92"/>
      <c r="AD620" s="92"/>
      <c r="AE620" s="92"/>
      <c r="AF620" s="989"/>
      <c r="AG620" s="92"/>
      <c r="AH620" s="92"/>
      <c r="AI620" s="92"/>
      <c r="AJ620" s="92"/>
      <c r="AK620" s="989"/>
      <c r="AL620" s="897">
        <v>210</v>
      </c>
      <c r="AM620" s="897">
        <v>738</v>
      </c>
      <c r="AN620" s="897">
        <v>0</v>
      </c>
      <c r="AO620" s="897">
        <v>0</v>
      </c>
      <c r="AP620" s="993">
        <f t="shared" si="1979"/>
        <v>948</v>
      </c>
      <c r="AQ620" s="897">
        <v>0</v>
      </c>
      <c r="AR620" s="897">
        <v>29</v>
      </c>
      <c r="AS620" s="897">
        <v>0</v>
      </c>
      <c r="AT620" s="897">
        <v>0</v>
      </c>
      <c r="AU620" s="993">
        <f t="shared" si="1980"/>
        <v>29</v>
      </c>
      <c r="AV620" s="92"/>
      <c r="AW620" s="92"/>
      <c r="AX620" s="92"/>
      <c r="AY620" s="897">
        <v>0</v>
      </c>
      <c r="AZ620" s="993">
        <f t="shared" si="1981"/>
        <v>0</v>
      </c>
      <c r="BA620" s="92"/>
      <c r="BB620" s="92"/>
      <c r="BC620" s="92"/>
      <c r="BD620" s="92"/>
      <c r="BE620" s="993">
        <f t="shared" si="1982"/>
        <v>0</v>
      </c>
      <c r="BF620" s="92"/>
      <c r="BG620" s="92"/>
      <c r="BH620" s="464"/>
      <c r="BI620" s="92"/>
      <c r="BJ620" s="989"/>
      <c r="BK620" s="92"/>
      <c r="BL620" s="92"/>
      <c r="BM620" s="92"/>
      <c r="BN620" s="92"/>
      <c r="BO620" s="989"/>
      <c r="BP620" s="989"/>
      <c r="BQ620" s="989"/>
      <c r="BR620" s="989"/>
      <c r="BS620" s="305"/>
    </row>
    <row r="621" spans="1:71" s="300" customFormat="1" ht="15" hidden="1" outlineLevel="1">
      <c r="A621" s="304" t="s">
        <v>670</v>
      </c>
      <c r="B621" s="166"/>
      <c r="C621" s="988">
        <v>1617</v>
      </c>
      <c r="D621" s="988">
        <v>1815</v>
      </c>
      <c r="E621" s="988">
        <v>1761</v>
      </c>
      <c r="F621" s="988">
        <v>1818</v>
      </c>
      <c r="G621" s="988">
        <v>1917</v>
      </c>
      <c r="H621" s="897">
        <v>488</v>
      </c>
      <c r="I621" s="897">
        <v>413</v>
      </c>
      <c r="J621" s="897">
        <v>433</v>
      </c>
      <c r="K621" s="92">
        <f>L621-SUM(H621,I621,J621)</f>
        <v>431</v>
      </c>
      <c r="L621" s="988">
        <v>1765</v>
      </c>
      <c r="M621" s="897">
        <v>441</v>
      </c>
      <c r="N621" s="897">
        <v>446</v>
      </c>
      <c r="O621" s="897">
        <v>460</v>
      </c>
      <c r="P621" s="92">
        <f>Q621-SUM(M621,N621,O621)</f>
        <v>456</v>
      </c>
      <c r="Q621" s="988">
        <v>1803</v>
      </c>
      <c r="R621" s="897">
        <v>455</v>
      </c>
      <c r="S621" s="897">
        <v>454</v>
      </c>
      <c r="T621" s="897">
        <v>484</v>
      </c>
      <c r="U621" s="92">
        <f>V621-SUM(R621,S621,T621)</f>
        <v>464</v>
      </c>
      <c r="V621" s="988">
        <v>1857</v>
      </c>
      <c r="W621" s="897">
        <v>474</v>
      </c>
      <c r="X621" s="897">
        <v>486</v>
      </c>
      <c r="Y621" s="897">
        <v>456</v>
      </c>
      <c r="Z621" s="92">
        <f>AA621-SUM(W621,X621,Y621)</f>
        <v>507</v>
      </c>
      <c r="AA621" s="988">
        <v>1923</v>
      </c>
      <c r="AB621" s="897">
        <v>504</v>
      </c>
      <c r="AC621" s="897">
        <v>483</v>
      </c>
      <c r="AD621" s="897">
        <v>498</v>
      </c>
      <c r="AE621" s="92">
        <f>AF621-SUM(AB621,AC621,AD621)</f>
        <v>488</v>
      </c>
      <c r="AF621" s="988">
        <v>1973</v>
      </c>
      <c r="AG621" s="897">
        <v>497</v>
      </c>
      <c r="AH621" s="897">
        <v>511</v>
      </c>
      <c r="AI621" s="897">
        <v>513</v>
      </c>
      <c r="AJ621" s="92">
        <f t="shared" si="1983" ref="AJ621:AJ630">AK621-SUM(AG621,AH621,AI621)</f>
        <v>518</v>
      </c>
      <c r="AK621" s="988">
        <v>2039</v>
      </c>
      <c r="AL621" s="897">
        <v>141</v>
      </c>
      <c r="AM621" s="897">
        <v>123</v>
      </c>
      <c r="AN621" s="897">
        <v>128</v>
      </c>
      <c r="AO621" s="897">
        <v>124</v>
      </c>
      <c r="AP621" s="993">
        <f t="shared" si="1979"/>
        <v>516</v>
      </c>
      <c r="AQ621" s="897">
        <v>233</v>
      </c>
      <c r="AR621" s="897">
        <v>244</v>
      </c>
      <c r="AS621" s="897">
        <v>269</v>
      </c>
      <c r="AT621" s="897">
        <v>269</v>
      </c>
      <c r="AU621" s="993">
        <f t="shared" si="1980"/>
        <v>1015</v>
      </c>
      <c r="AV621" s="897">
        <v>268</v>
      </c>
      <c r="AW621" s="897">
        <v>265</v>
      </c>
      <c r="AX621" s="897">
        <v>252</v>
      </c>
      <c r="AY621" s="897">
        <v>257</v>
      </c>
      <c r="AZ621" s="993">
        <f t="shared" si="1981"/>
        <v>1042</v>
      </c>
      <c r="BA621" s="897">
        <v>265</v>
      </c>
      <c r="BB621" s="897">
        <v>258</v>
      </c>
      <c r="BC621" s="897">
        <v>262</v>
      </c>
      <c r="BD621" s="897">
        <v>286</v>
      </c>
      <c r="BE621" s="993">
        <f t="shared" si="1982"/>
        <v>1071</v>
      </c>
      <c r="BF621" s="897">
        <v>296</v>
      </c>
      <c r="BG621" s="897">
        <v>291</v>
      </c>
      <c r="BH621" s="898">
        <v>317</v>
      </c>
      <c r="BI621" s="92"/>
      <c r="BJ621" s="989"/>
      <c r="BK621" s="92"/>
      <c r="BL621" s="92"/>
      <c r="BM621" s="92"/>
      <c r="BN621" s="92"/>
      <c r="BO621" s="989"/>
      <c r="BP621" s="989"/>
      <c r="BQ621" s="989"/>
      <c r="BR621" s="989"/>
      <c r="BS621" s="305"/>
    </row>
    <row r="622" spans="1:71" s="300" customFormat="1" ht="15" hidden="1" outlineLevel="1">
      <c r="A622" s="304" t="s">
        <v>42</v>
      </c>
      <c r="B622" s="166"/>
      <c r="C622" s="988">
        <v>2126</v>
      </c>
      <c r="D622" s="988">
        <v>1807</v>
      </c>
      <c r="E622" s="988">
        <v>1645</v>
      </c>
      <c r="F622" s="988">
        <v>1316</v>
      </c>
      <c r="G622" s="988">
        <v>1278</v>
      </c>
      <c r="H622" s="897">
        <v>307</v>
      </c>
      <c r="I622" s="897">
        <v>212</v>
      </c>
      <c r="J622" s="897">
        <v>198</v>
      </c>
      <c r="K622" s="92">
        <f>L622-SUM(H622,I622,J622)</f>
        <v>202</v>
      </c>
      <c r="L622" s="988">
        <v>919</v>
      </c>
      <c r="M622" s="897">
        <v>199</v>
      </c>
      <c r="N622" s="897">
        <v>185</v>
      </c>
      <c r="O622" s="897">
        <v>194</v>
      </c>
      <c r="P622" s="92">
        <f>Q622-SUM(M622,N622,O622)</f>
        <v>183</v>
      </c>
      <c r="Q622" s="988">
        <v>761</v>
      </c>
      <c r="R622" s="897">
        <v>190</v>
      </c>
      <c r="S622" s="897">
        <v>185</v>
      </c>
      <c r="T622" s="897">
        <v>183</v>
      </c>
      <c r="U622" s="92">
        <f>V622-SUM(R622,S622,T622)</f>
        <v>168</v>
      </c>
      <c r="V622" s="988">
        <v>726</v>
      </c>
      <c r="W622" s="897">
        <v>173</v>
      </c>
      <c r="X622" s="897">
        <v>175</v>
      </c>
      <c r="Y622" s="897">
        <v>174</v>
      </c>
      <c r="Z622" s="92">
        <f>AA622-SUM(W622,X622,Y622)</f>
        <v>168</v>
      </c>
      <c r="AA622" s="988">
        <v>690</v>
      </c>
      <c r="AB622" s="897">
        <v>161</v>
      </c>
      <c r="AC622" s="897">
        <v>165</v>
      </c>
      <c r="AD622" s="897">
        <v>163</v>
      </c>
      <c r="AE622" s="92">
        <f>AF622-SUM(AB622,AC622,AD622)</f>
        <v>165</v>
      </c>
      <c r="AF622" s="988">
        <v>654</v>
      </c>
      <c r="AG622" s="897">
        <v>162</v>
      </c>
      <c r="AH622" s="897">
        <v>156</v>
      </c>
      <c r="AI622" s="897">
        <v>169</v>
      </c>
      <c r="AJ622" s="92">
        <f t="shared" si="1983"/>
        <v>153</v>
      </c>
      <c r="AK622" s="988">
        <v>640</v>
      </c>
      <c r="AL622" s="897">
        <v>9</v>
      </c>
      <c r="AM622" s="897">
        <v>9</v>
      </c>
      <c r="AN622" s="897">
        <v>8</v>
      </c>
      <c r="AO622" s="897">
        <v>7</v>
      </c>
      <c r="AP622" s="993">
        <f t="shared" si="1979"/>
        <v>33</v>
      </c>
      <c r="AQ622" s="897">
        <v>9</v>
      </c>
      <c r="AR622" s="897">
        <v>8</v>
      </c>
      <c r="AS622" s="897">
        <v>8</v>
      </c>
      <c r="AT622" s="897">
        <v>9</v>
      </c>
      <c r="AU622" s="993">
        <f t="shared" si="1980"/>
        <v>34</v>
      </c>
      <c r="AV622" s="92"/>
      <c r="AW622" s="92"/>
      <c r="AX622" s="92"/>
      <c r="AY622" s="92"/>
      <c r="AZ622" s="993">
        <f t="shared" si="1981"/>
        <v>0</v>
      </c>
      <c r="BA622" s="92"/>
      <c r="BB622" s="92"/>
      <c r="BC622" s="92"/>
      <c r="BD622" s="92"/>
      <c r="BE622" s="993">
        <f t="shared" si="1982"/>
        <v>0</v>
      </c>
      <c r="BF622" s="92"/>
      <c r="BG622" s="92"/>
      <c r="BH622" s="464"/>
      <c r="BI622" s="92"/>
      <c r="BJ622" s="989"/>
      <c r="BK622" s="92"/>
      <c r="BL622" s="92"/>
      <c r="BM622" s="92"/>
      <c r="BN622" s="92"/>
      <c r="BO622" s="989"/>
      <c r="BP622" s="989"/>
      <c r="BQ622" s="989"/>
      <c r="BR622" s="989"/>
      <c r="BS622" s="305"/>
    </row>
    <row r="623" spans="1:71" s="300" customFormat="1" ht="15" hidden="1" outlineLevel="1">
      <c r="A623" s="304" t="s">
        <v>43</v>
      </c>
      <c r="B623" s="166"/>
      <c r="C623" s="988">
        <v>4754</v>
      </c>
      <c r="D623" s="988">
        <v>4034</v>
      </c>
      <c r="E623" s="988">
        <v>3971</v>
      </c>
      <c r="F623" s="988">
        <v>3884</v>
      </c>
      <c r="G623" s="988">
        <v>4002</v>
      </c>
      <c r="H623" s="897">
        <v>1035</v>
      </c>
      <c r="I623" s="897">
        <v>1035</v>
      </c>
      <c r="J623" s="897">
        <v>1030</v>
      </c>
      <c r="K623" s="92">
        <f>L623-SUM(H623,I623,J623)</f>
        <v>1035</v>
      </c>
      <c r="L623" s="988">
        <v>4135</v>
      </c>
      <c r="M623" s="897">
        <v>1070</v>
      </c>
      <c r="N623" s="897">
        <v>1086</v>
      </c>
      <c r="O623" s="897">
        <v>1092</v>
      </c>
      <c r="P623" s="92">
        <f>Q623-SUM(M623,N623,O623)</f>
        <v>1116</v>
      </c>
      <c r="Q623" s="988">
        <v>4364</v>
      </c>
      <c r="R623" s="897">
        <v>1129</v>
      </c>
      <c r="S623" s="897">
        <v>1126</v>
      </c>
      <c r="T623" s="897">
        <v>1138</v>
      </c>
      <c r="U623" s="92">
        <f>V623-SUM(R623,S623,T623)</f>
        <v>1157</v>
      </c>
      <c r="V623" s="988">
        <v>4550</v>
      </c>
      <c r="W623" s="897">
        <v>1169</v>
      </c>
      <c r="X623" s="897">
        <v>1176</v>
      </c>
      <c r="Y623" s="897">
        <v>1200</v>
      </c>
      <c r="Z623" s="92">
        <f>AA623-SUM(W623,X623,Y623)</f>
        <v>1239</v>
      </c>
      <c r="AA623" s="988">
        <v>4784</v>
      </c>
      <c r="AB623" s="897">
        <v>1273</v>
      </c>
      <c r="AC623" s="897">
        <v>1296</v>
      </c>
      <c r="AD623" s="897">
        <v>1317</v>
      </c>
      <c r="AE623" s="92">
        <f>AF623-SUM(AB623,AC623,AD623)</f>
        <v>1336</v>
      </c>
      <c r="AF623" s="988">
        <v>5222</v>
      </c>
      <c r="AG623" s="897">
        <v>1364</v>
      </c>
      <c r="AH623" s="897">
        <v>1362</v>
      </c>
      <c r="AI623" s="897">
        <v>1425</v>
      </c>
      <c r="AJ623" s="92">
        <f t="shared" si="1983"/>
        <v>1382</v>
      </c>
      <c r="AK623" s="988">
        <v>5533</v>
      </c>
      <c r="AL623" s="897">
        <v>1365</v>
      </c>
      <c r="AM623" s="897">
        <v>1344</v>
      </c>
      <c r="AN623" s="897">
        <v>1386</v>
      </c>
      <c r="AO623" s="897">
        <v>1382</v>
      </c>
      <c r="AP623" s="993">
        <f t="shared" si="1979"/>
        <v>5477</v>
      </c>
      <c r="AQ623" s="897">
        <v>1523</v>
      </c>
      <c r="AR623" s="897">
        <v>1545</v>
      </c>
      <c r="AS623" s="897">
        <v>1582</v>
      </c>
      <c r="AT623" s="897">
        <v>1602</v>
      </c>
      <c r="AU623" s="993">
        <f t="shared" si="1980"/>
        <v>6252</v>
      </c>
      <c r="AV623" s="897">
        <v>1608</v>
      </c>
      <c r="AW623" s="897">
        <v>1618</v>
      </c>
      <c r="AX623" s="897">
        <v>1683</v>
      </c>
      <c r="AY623" s="897">
        <v>1725</v>
      </c>
      <c r="AZ623" s="993">
        <f t="shared" si="1981"/>
        <v>6634</v>
      </c>
      <c r="BA623" s="897">
        <v>1744</v>
      </c>
      <c r="BB623" s="897">
        <v>1789</v>
      </c>
      <c r="BC623" s="897">
        <v>1841</v>
      </c>
      <c r="BD623" s="897">
        <v>1904</v>
      </c>
      <c r="BE623" s="993">
        <f t="shared" si="1982"/>
        <v>7278</v>
      </c>
      <c r="BF623" s="897">
        <v>1939</v>
      </c>
      <c r="BG623" s="897">
        <v>2001</v>
      </c>
      <c r="BH623" s="898">
        <v>2037</v>
      </c>
      <c r="BI623" s="92"/>
      <c r="BJ623" s="989"/>
      <c r="BK623" s="92"/>
      <c r="BL623" s="92"/>
      <c r="BM623" s="92"/>
      <c r="BN623" s="92"/>
      <c r="BO623" s="989"/>
      <c r="BP623" s="989"/>
      <c r="BQ623" s="989"/>
      <c r="BR623" s="989"/>
      <c r="BS623" s="305"/>
    </row>
    <row r="624" spans="1:71" s="300" customFormat="1" ht="15" hidden="1" outlineLevel="1">
      <c r="A624" s="304" t="s">
        <v>44</v>
      </c>
      <c r="B624" s="166"/>
      <c r="C624" s="988">
        <v>3007</v>
      </c>
      <c r="D624" s="988">
        <v>3281</v>
      </c>
      <c r="E624" s="988">
        <v>3739</v>
      </c>
      <c r="F624" s="988">
        <v>4118</v>
      </c>
      <c r="G624" s="988">
        <v>4387</v>
      </c>
      <c r="H624" s="897">
        <v>1094</v>
      </c>
      <c r="I624" s="897">
        <v>1023</v>
      </c>
      <c r="J624" s="897">
        <v>1068</v>
      </c>
      <c r="K624" s="92">
        <f>L624-SUM(H624,I624,J624)</f>
        <v>1156</v>
      </c>
      <c r="L624" s="988">
        <v>4341</v>
      </c>
      <c r="M624" s="897">
        <v>1090</v>
      </c>
      <c r="N624" s="897">
        <v>1061</v>
      </c>
      <c r="O624" s="897">
        <v>992</v>
      </c>
      <c r="P624" s="92">
        <f>Q624-SUM(M624,N624,O624)</f>
        <v>938</v>
      </c>
      <c r="Q624" s="988">
        <v>4081</v>
      </c>
      <c r="R624" s="897">
        <v>982</v>
      </c>
      <c r="S624" s="897">
        <v>1040</v>
      </c>
      <c r="T624" s="897">
        <v>1021</v>
      </c>
      <c r="U624" s="92">
        <f>V624-SUM(R624,S624,T624)</f>
        <v>1063</v>
      </c>
      <c r="V624" s="988">
        <v>4106</v>
      </c>
      <c r="W624" s="897">
        <v>1097</v>
      </c>
      <c r="X624" s="897">
        <v>1086</v>
      </c>
      <c r="Y624" s="897">
        <v>1218</v>
      </c>
      <c r="Z624" s="92">
        <f>AA624-SUM(W624,X624,Y624)</f>
        <v>1257</v>
      </c>
      <c r="AA624" s="988">
        <v>4658</v>
      </c>
      <c r="AB624" s="897">
        <v>1355</v>
      </c>
      <c r="AC624" s="897">
        <v>1407</v>
      </c>
      <c r="AD624" s="897">
        <v>1534</v>
      </c>
      <c r="AE624" s="92">
        <f>AF624-SUM(AB624,AC624,AD624)</f>
        <v>1573</v>
      </c>
      <c r="AF624" s="988">
        <v>5869</v>
      </c>
      <c r="AG624" s="897">
        <v>1380</v>
      </c>
      <c r="AH624" s="897">
        <v>1380</v>
      </c>
      <c r="AI624" s="897">
        <v>1414</v>
      </c>
      <c r="AJ624" s="92">
        <f t="shared" si="1983"/>
        <v>1516</v>
      </c>
      <c r="AK624" s="988">
        <v>5690</v>
      </c>
      <c r="AL624" s="897">
        <v>1338</v>
      </c>
      <c r="AM624" s="897">
        <v>1394</v>
      </c>
      <c r="AN624" s="897">
        <v>1322</v>
      </c>
      <c r="AO624" s="897">
        <v>1440</v>
      </c>
      <c r="AP624" s="993">
        <f t="shared" si="1979"/>
        <v>5494</v>
      </c>
      <c r="AQ624" s="897">
        <v>1731</v>
      </c>
      <c r="AR624" s="897">
        <v>1683</v>
      </c>
      <c r="AS624" s="897">
        <v>1890</v>
      </c>
      <c r="AT624" s="897">
        <v>1956</v>
      </c>
      <c r="AU624" s="993">
        <f t="shared" si="1980"/>
        <v>7260</v>
      </c>
      <c r="AV624" s="897">
        <v>1902</v>
      </c>
      <c r="AW624" s="897">
        <v>1850</v>
      </c>
      <c r="AX624" s="897">
        <v>1842</v>
      </c>
      <c r="AY624" s="897">
        <v>1852</v>
      </c>
      <c r="AZ624" s="993">
        <f t="shared" si="1981"/>
        <v>7446</v>
      </c>
      <c r="BA624" s="897">
        <v>1716</v>
      </c>
      <c r="BB624" s="897">
        <v>1786</v>
      </c>
      <c r="BC624" s="897">
        <v>1771</v>
      </c>
      <c r="BD624" s="897">
        <v>1864</v>
      </c>
      <c r="BE624" s="993">
        <f t="shared" si="1982"/>
        <v>7137</v>
      </c>
      <c r="BF624" s="897">
        <v>1885</v>
      </c>
      <c r="BG624" s="897">
        <v>2019</v>
      </c>
      <c r="BH624" s="898">
        <v>2217</v>
      </c>
      <c r="BI624" s="92"/>
      <c r="BJ624" s="989"/>
      <c r="BK624" s="92"/>
      <c r="BL624" s="92"/>
      <c r="BM624" s="92"/>
      <c r="BN624" s="92"/>
      <c r="BO624" s="989"/>
      <c r="BP624" s="989"/>
      <c r="BQ624" s="989"/>
      <c r="BR624" s="989"/>
      <c r="BS624" s="305"/>
    </row>
    <row r="625" spans="1:71" s="300" customFormat="1" ht="15" hidden="1" outlineLevel="1">
      <c r="A625" s="304" t="s">
        <v>296</v>
      </c>
      <c r="B625" s="166"/>
      <c r="C625" s="989"/>
      <c r="D625" s="989"/>
      <c r="E625" s="989"/>
      <c r="F625" s="989"/>
      <c r="G625" s="989"/>
      <c r="H625" s="92"/>
      <c r="I625" s="92"/>
      <c r="J625" s="92"/>
      <c r="K625" s="92"/>
      <c r="L625" s="989"/>
      <c r="M625" s="92"/>
      <c r="N625" s="92"/>
      <c r="O625" s="92"/>
      <c r="P625" s="92"/>
      <c r="Q625" s="989"/>
      <c r="R625" s="92"/>
      <c r="S625" s="92"/>
      <c r="T625" s="92"/>
      <c r="U625" s="92"/>
      <c r="V625" s="989"/>
      <c r="W625" s="92"/>
      <c r="X625" s="92"/>
      <c r="Y625" s="92"/>
      <c r="Z625" s="92"/>
      <c r="AA625" s="989"/>
      <c r="AB625" s="92"/>
      <c r="AC625" s="92"/>
      <c r="AD625" s="92"/>
      <c r="AE625" s="92"/>
      <c r="AF625" s="989"/>
      <c r="AG625" s="897">
        <v>15</v>
      </c>
      <c r="AH625" s="897">
        <v>125</v>
      </c>
      <c r="AI625" s="897">
        <v>225</v>
      </c>
      <c r="AJ625" s="92">
        <f t="shared" si="1983"/>
        <v>-251</v>
      </c>
      <c r="AK625" s="988">
        <v>114</v>
      </c>
      <c r="AL625" s="897">
        <v>318</v>
      </c>
      <c r="AM625" s="897">
        <v>73</v>
      </c>
      <c r="AN625" s="897">
        <v>-71</v>
      </c>
      <c r="AO625" s="897">
        <v>-371</v>
      </c>
      <c r="AP625" s="993">
        <f t="shared" si="1979"/>
        <v>-51</v>
      </c>
      <c r="AQ625" s="897">
        <v>-310</v>
      </c>
      <c r="AR625" s="897">
        <v>-134</v>
      </c>
      <c r="AS625" s="897">
        <v>40</v>
      </c>
      <c r="AT625" s="897">
        <v>-240</v>
      </c>
      <c r="AU625" s="993">
        <f t="shared" si="1980"/>
        <v>-644</v>
      </c>
      <c r="AV625" s="897">
        <v>-247</v>
      </c>
      <c r="AW625" s="897">
        <v>259</v>
      </c>
      <c r="AX625" s="897">
        <v>79</v>
      </c>
      <c r="AY625" s="897">
        <v>25</v>
      </c>
      <c r="AZ625" s="993">
        <f t="shared" si="1981"/>
        <v>116</v>
      </c>
      <c r="BA625" s="897">
        <v>-53</v>
      </c>
      <c r="BB625" s="897">
        <v>-40</v>
      </c>
      <c r="BC625" s="897">
        <v>149</v>
      </c>
      <c r="BD625" s="897">
        <v>-47</v>
      </c>
      <c r="BE625" s="993">
        <f t="shared" si="1982"/>
        <v>9</v>
      </c>
      <c r="BF625" s="897">
        <v>-2</v>
      </c>
      <c r="BG625" s="897">
        <v>-9</v>
      </c>
      <c r="BH625" s="898">
        <v>26</v>
      </c>
      <c r="BI625" s="92"/>
      <c r="BJ625" s="989"/>
      <c r="BK625" s="92"/>
      <c r="BL625" s="92"/>
      <c r="BM625" s="92"/>
      <c r="BN625" s="92"/>
      <c r="BO625" s="989"/>
      <c r="BP625" s="989"/>
      <c r="BQ625" s="989"/>
      <c r="BR625" s="989"/>
      <c r="BS625" s="305"/>
    </row>
    <row r="626" spans="1:71" s="300" customFormat="1" ht="15" hidden="1" outlineLevel="1">
      <c r="A626" s="304" t="s">
        <v>45</v>
      </c>
      <c r="B626" s="166"/>
      <c r="C626" s="988">
        <v>130</v>
      </c>
      <c r="D626" s="988">
        <v>30</v>
      </c>
      <c r="E626" s="988">
        <v>44</v>
      </c>
      <c r="F626" s="988">
        <v>34</v>
      </c>
      <c r="G626" s="988">
        <v>70</v>
      </c>
      <c r="H626" s="897">
        <v>6</v>
      </c>
      <c r="I626" s="897">
        <v>4</v>
      </c>
      <c r="J626" s="897">
        <v>3</v>
      </c>
      <c r="K626" s="92">
        <f>L626-SUM(H626,I626,J626)</f>
        <v>5</v>
      </c>
      <c r="L626" s="988">
        <v>18</v>
      </c>
      <c r="M626" s="897">
        <v>4</v>
      </c>
      <c r="N626" s="897">
        <v>19</v>
      </c>
      <c r="O626" s="897">
        <v>9</v>
      </c>
      <c r="P626" s="92">
        <f>Q626-SUM(M626,N626,O626)</f>
        <v>7</v>
      </c>
      <c r="Q626" s="988">
        <v>39</v>
      </c>
      <c r="R626" s="897">
        <v>5</v>
      </c>
      <c r="S626" s="897">
        <v>11</v>
      </c>
      <c r="T626" s="897">
        <v>5</v>
      </c>
      <c r="U626" s="92">
        <f>V626-SUM(R626,S626,T626)</f>
        <v>9</v>
      </c>
      <c r="V626" s="988">
        <v>30</v>
      </c>
      <c r="W626" s="897">
        <v>10</v>
      </c>
      <c r="X626" s="897">
        <v>53</v>
      </c>
      <c r="Y626" s="897">
        <v>14</v>
      </c>
      <c r="Z626" s="92">
        <f>AA626-SUM(W626,X626,Y626)</f>
        <v>32</v>
      </c>
      <c r="AA626" s="988">
        <v>109</v>
      </c>
      <c r="AB626" s="897">
        <v>22</v>
      </c>
      <c r="AC626" s="897">
        <v>27</v>
      </c>
      <c r="AD626" s="897">
        <v>16</v>
      </c>
      <c r="AE626" s="92">
        <f>AF626-SUM(AB626,AC626,AD626)</f>
        <v>18</v>
      </c>
      <c r="AF626" s="988">
        <v>83</v>
      </c>
      <c r="AG626" s="897">
        <v>18</v>
      </c>
      <c r="AH626" s="897">
        <v>9</v>
      </c>
      <c r="AI626" s="92"/>
      <c r="AJ626" s="92">
        <f t="shared" si="1983"/>
        <v>14</v>
      </c>
      <c r="AK626" s="988">
        <v>41</v>
      </c>
      <c r="AL626" s="897">
        <v>4</v>
      </c>
      <c r="AM626" s="897">
        <v>13</v>
      </c>
      <c r="AN626" s="897">
        <v>196</v>
      </c>
      <c r="AO626" s="897">
        <v>40</v>
      </c>
      <c r="AP626" s="993">
        <f t="shared" si="1979"/>
        <v>253</v>
      </c>
      <c r="AQ626" s="897">
        <v>51</v>
      </c>
      <c r="AR626" s="897">
        <v>71</v>
      </c>
      <c r="AS626" s="897">
        <v>23</v>
      </c>
      <c r="AT626" s="897">
        <v>25</v>
      </c>
      <c r="AU626" s="993">
        <f t="shared" si="1980"/>
        <v>170</v>
      </c>
      <c r="AV626" s="897">
        <v>12</v>
      </c>
      <c r="AW626" s="897">
        <v>1</v>
      </c>
      <c r="AX626" s="897">
        <v>14</v>
      </c>
      <c r="AY626" s="897">
        <v>24</v>
      </c>
      <c r="AZ626" s="993">
        <f t="shared" si="1981"/>
        <v>51</v>
      </c>
      <c r="BA626" s="897">
        <v>27</v>
      </c>
      <c r="BB626" s="897">
        <v>27</v>
      </c>
      <c r="BC626" s="897">
        <v>87</v>
      </c>
      <c r="BD626" s="897">
        <v>28</v>
      </c>
      <c r="BE626" s="993">
        <f t="shared" si="1982"/>
        <v>169</v>
      </c>
      <c r="BF626" s="897">
        <v>10</v>
      </c>
      <c r="BG626" s="897">
        <v>13</v>
      </c>
      <c r="BH626" s="898">
        <v>28</v>
      </c>
      <c r="BI626" s="92"/>
      <c r="BJ626" s="989"/>
      <c r="BK626" s="92"/>
      <c r="BL626" s="92"/>
      <c r="BM626" s="92"/>
      <c r="BN626" s="92"/>
      <c r="BO626" s="989"/>
      <c r="BP626" s="989"/>
      <c r="BQ626" s="989"/>
      <c r="BR626" s="989"/>
      <c r="BS626" s="305"/>
    </row>
    <row r="627" spans="1:71" s="300" customFormat="1" ht="15" hidden="1" outlineLevel="1">
      <c r="A627" s="304" t="s">
        <v>46</v>
      </c>
      <c r="B627" s="166"/>
      <c r="C627" s="989"/>
      <c r="D627" s="989"/>
      <c r="E627" s="989"/>
      <c r="F627" s="989"/>
      <c r="G627" s="989"/>
      <c r="H627" s="92"/>
      <c r="I627" s="92"/>
      <c r="J627" s="92"/>
      <c r="K627" s="92">
        <f>L627-SUM(H627,I627,J627)</f>
        <v>0</v>
      </c>
      <c r="L627" s="989"/>
      <c r="M627" s="92"/>
      <c r="N627" s="92"/>
      <c r="O627" s="92"/>
      <c r="P627" s="92">
        <f>Q627-SUM(M627,N627,O627)</f>
        <v>0</v>
      </c>
      <c r="Q627" s="989"/>
      <c r="R627" s="92"/>
      <c r="S627" s="92"/>
      <c r="T627" s="92"/>
      <c r="U627" s="92">
        <f>V627-SUM(R627,S627,T627)</f>
        <v>0</v>
      </c>
      <c r="V627" s="989"/>
      <c r="W627" s="92"/>
      <c r="X627" s="92"/>
      <c r="Y627" s="92"/>
      <c r="Z627" s="92">
        <f>AA627-SUM(W627,X627,Y627)</f>
        <v>125</v>
      </c>
      <c r="AA627" s="988">
        <v>125</v>
      </c>
      <c r="AB627" s="92"/>
      <c r="AC627" s="92"/>
      <c r="AD627" s="92"/>
      <c r="AE627" s="92">
        <f>AF627-SUM(AB627,AC627,AD627)</f>
        <v>0</v>
      </c>
      <c r="AF627" s="989"/>
      <c r="AG627" s="92"/>
      <c r="AH627" s="897">
        <v>55</v>
      </c>
      <c r="AI627" s="92"/>
      <c r="AJ627" s="92">
        <f t="shared" si="1983"/>
        <v>51</v>
      </c>
      <c r="AK627" s="988">
        <v>106</v>
      </c>
      <c r="AL627" s="92"/>
      <c r="AM627" s="897">
        <v>0</v>
      </c>
      <c r="AN627" s="92"/>
      <c r="AO627" s="897">
        <v>0</v>
      </c>
      <c r="AP627" s="989">
        <f t="shared" si="1979"/>
        <v>0</v>
      </c>
      <c r="AQ627" s="92"/>
      <c r="AR627" s="92"/>
      <c r="AS627" s="92"/>
      <c r="AT627" s="92"/>
      <c r="AU627" s="989">
        <f t="shared" si="1980"/>
        <v>0</v>
      </c>
      <c r="AV627" s="92"/>
      <c r="AW627" s="92"/>
      <c r="AX627" s="92"/>
      <c r="AY627" s="92"/>
      <c r="AZ627" s="989">
        <f t="shared" si="1981"/>
        <v>0</v>
      </c>
      <c r="BA627" s="92"/>
      <c r="BB627" s="92"/>
      <c r="BC627" s="92"/>
      <c r="BD627" s="92"/>
      <c r="BE627" s="989">
        <f t="shared" si="1982"/>
        <v>0</v>
      </c>
      <c r="BF627" s="92"/>
      <c r="BG627" s="92"/>
      <c r="BH627" s="464"/>
      <c r="BI627" s="92"/>
      <c r="BJ627" s="989"/>
      <c r="BK627" s="92"/>
      <c r="BL627" s="92"/>
      <c r="BM627" s="92"/>
      <c r="BN627" s="92"/>
      <c r="BO627" s="989"/>
      <c r="BP627" s="989"/>
      <c r="BQ627" s="989"/>
      <c r="BR627" s="989"/>
      <c r="BS627" s="305"/>
    </row>
    <row r="628" spans="1:71" s="300" customFormat="1" ht="15" hidden="1" outlineLevel="1">
      <c r="A628" s="304" t="s">
        <v>47</v>
      </c>
      <c r="B628" s="166"/>
      <c r="C628" s="989"/>
      <c r="D628" s="989"/>
      <c r="E628" s="989"/>
      <c r="F628" s="989"/>
      <c r="G628" s="989"/>
      <c r="H628" s="92"/>
      <c r="I628" s="92"/>
      <c r="J628" s="92"/>
      <c r="K628" s="92"/>
      <c r="L628" s="989"/>
      <c r="M628" s="92"/>
      <c r="N628" s="92"/>
      <c r="O628" s="92"/>
      <c r="P628" s="92"/>
      <c r="Q628" s="989"/>
      <c r="R628" s="92"/>
      <c r="S628" s="92"/>
      <c r="T628" s="92"/>
      <c r="U628" s="92"/>
      <c r="V628" s="989"/>
      <c r="W628" s="92"/>
      <c r="X628" s="92"/>
      <c r="Y628" s="92"/>
      <c r="Z628" s="92"/>
      <c r="AA628" s="989"/>
      <c r="AB628" s="92"/>
      <c r="AC628" s="92"/>
      <c r="AD628" s="92"/>
      <c r="AE628" s="92">
        <f>AF628-SUM(AB628,AC628,AD628)</f>
        <v>105</v>
      </c>
      <c r="AF628" s="988">
        <v>105</v>
      </c>
      <c r="AG628" s="897">
        <v>32</v>
      </c>
      <c r="AH628" s="897">
        <v>32</v>
      </c>
      <c r="AI628" s="897">
        <v>32</v>
      </c>
      <c r="AJ628" s="92">
        <f t="shared" si="1983"/>
        <v>30</v>
      </c>
      <c r="AK628" s="988">
        <v>126</v>
      </c>
      <c r="AL628" s="897">
        <v>28</v>
      </c>
      <c r="AM628" s="897">
        <v>29</v>
      </c>
      <c r="AN628" s="897">
        <v>31</v>
      </c>
      <c r="AO628" s="897">
        <v>30</v>
      </c>
      <c r="AP628" s="993">
        <f t="shared" si="1979"/>
        <v>118</v>
      </c>
      <c r="AQ628" s="897">
        <v>53</v>
      </c>
      <c r="AR628" s="897">
        <v>105</v>
      </c>
      <c r="AS628" s="897">
        <v>109</v>
      </c>
      <c r="AT628" s="897">
        <v>109</v>
      </c>
      <c r="AU628" s="993">
        <f t="shared" si="1980"/>
        <v>376</v>
      </c>
      <c r="AV628" s="897">
        <v>87</v>
      </c>
      <c r="AW628" s="897">
        <v>87</v>
      </c>
      <c r="AX628" s="897">
        <v>90</v>
      </c>
      <c r="AY628" s="897">
        <v>89</v>
      </c>
      <c r="AZ628" s="993">
        <f t="shared" si="1981"/>
        <v>353</v>
      </c>
      <c r="BA628" s="897">
        <v>81</v>
      </c>
      <c r="BB628" s="897">
        <v>82</v>
      </c>
      <c r="BC628" s="897">
        <v>83</v>
      </c>
      <c r="BD628" s="897">
        <v>83</v>
      </c>
      <c r="BE628" s="993">
        <f t="shared" si="1982"/>
        <v>329</v>
      </c>
      <c r="BF628" s="897">
        <v>69</v>
      </c>
      <c r="BG628" s="897">
        <v>70</v>
      </c>
      <c r="BH628" s="898">
        <v>71</v>
      </c>
      <c r="BI628" s="92"/>
      <c r="BJ628" s="989"/>
      <c r="BK628" s="92"/>
      <c r="BL628" s="92"/>
      <c r="BM628" s="92"/>
      <c r="BN628" s="92"/>
      <c r="BO628" s="989"/>
      <c r="BP628" s="989"/>
      <c r="BQ628" s="989"/>
      <c r="BR628" s="989"/>
      <c r="BS628" s="305"/>
    </row>
    <row r="629" spans="1:71" s="300" customFormat="1" ht="15" hidden="1" outlineLevel="1">
      <c r="A629" s="304" t="s">
        <v>48</v>
      </c>
      <c r="B629" s="166"/>
      <c r="C629" s="989"/>
      <c r="D629" s="989"/>
      <c r="E629" s="989"/>
      <c r="F629" s="989"/>
      <c r="G629" s="988">
        <v>491</v>
      </c>
      <c r="H629" s="92"/>
      <c r="I629" s="897">
        <v>1</v>
      </c>
      <c r="J629" s="897">
        <v>0</v>
      </c>
      <c r="K629" s="92">
        <f>L629-SUM(H629,I629,J629)</f>
        <v>0</v>
      </c>
      <c r="L629" s="988">
        <v>1</v>
      </c>
      <c r="M629" s="92"/>
      <c r="N629" s="92"/>
      <c r="O629" s="92"/>
      <c r="P629" s="92">
        <f>Q629-SUM(M629,N629,O629)</f>
        <v>0</v>
      </c>
      <c r="Q629" s="988">
        <v>0</v>
      </c>
      <c r="R629" s="92"/>
      <c r="S629" s="92"/>
      <c r="T629" s="92"/>
      <c r="U629" s="92">
        <f>V629-SUM(R629,S629,T629)</f>
        <v>0</v>
      </c>
      <c r="V629" s="988">
        <v>0</v>
      </c>
      <c r="W629" s="92"/>
      <c r="X629" s="897">
        <v>0</v>
      </c>
      <c r="Y629" s="92"/>
      <c r="Z629" s="92">
        <f>AA629-SUM(W629,X629,Y629)</f>
        <v>0</v>
      </c>
      <c r="AA629" s="989"/>
      <c r="AB629" s="92"/>
      <c r="AC629" s="92"/>
      <c r="AD629" s="92"/>
      <c r="AE629" s="92">
        <f>AF629-SUM(AB629,AC629,AD629)</f>
        <v>0</v>
      </c>
      <c r="AF629" s="989"/>
      <c r="AG629" s="92"/>
      <c r="AH629" s="92"/>
      <c r="AI629" s="92"/>
      <c r="AJ629" s="92">
        <f t="shared" si="1983"/>
        <v>0</v>
      </c>
      <c r="AK629" s="989"/>
      <c r="AL629" s="92"/>
      <c r="AM629" s="897">
        <v>0</v>
      </c>
      <c r="AN629" s="92"/>
      <c r="AO629" s="897">
        <v>0</v>
      </c>
      <c r="AP629" s="989">
        <f t="shared" si="1979"/>
        <v>0</v>
      </c>
      <c r="AQ629" s="92"/>
      <c r="AR629" s="92"/>
      <c r="AS629" s="92"/>
      <c r="AT629" s="92"/>
      <c r="AU629" s="989">
        <f t="shared" si="1980"/>
        <v>0</v>
      </c>
      <c r="AV629" s="92"/>
      <c r="AW629" s="92"/>
      <c r="AX629" s="92"/>
      <c r="AY629" s="92"/>
      <c r="AZ629" s="989">
        <f t="shared" si="1981"/>
        <v>0</v>
      </c>
      <c r="BA629" s="92"/>
      <c r="BB629" s="92"/>
      <c r="BC629" s="92"/>
      <c r="BD629" s="92"/>
      <c r="BE629" s="989">
        <f t="shared" si="1982"/>
        <v>0</v>
      </c>
      <c r="BF629" s="92"/>
      <c r="BG629" s="92"/>
      <c r="BH629" s="464"/>
      <c r="BI629" s="92"/>
      <c r="BJ629" s="989"/>
      <c r="BK629" s="92"/>
      <c r="BL629" s="92"/>
      <c r="BM629" s="92"/>
      <c r="BN629" s="92"/>
      <c r="BO629" s="989"/>
      <c r="BP629" s="989"/>
      <c r="BQ629" s="989"/>
      <c r="BR629" s="989"/>
      <c r="BS629" s="305"/>
    </row>
    <row r="630" spans="1:71" s="300" customFormat="1" ht="15" hidden="1" outlineLevel="1">
      <c r="A630" s="304" t="s">
        <v>49</v>
      </c>
      <c r="B630" s="166"/>
      <c r="C630" s="988">
        <v>392</v>
      </c>
      <c r="D630" s="988">
        <v>367</v>
      </c>
      <c r="E630" s="988">
        <v>367</v>
      </c>
      <c r="F630" s="988">
        <v>373</v>
      </c>
      <c r="G630" s="988">
        <v>367</v>
      </c>
      <c r="H630" s="897">
        <v>87</v>
      </c>
      <c r="I630" s="897">
        <v>84</v>
      </c>
      <c r="J630" s="897">
        <v>78</v>
      </c>
      <c r="K630" s="92">
        <f>L630-J630-I630-H630</f>
        <v>73</v>
      </c>
      <c r="L630" s="988">
        <v>322</v>
      </c>
      <c r="M630" s="897">
        <v>73</v>
      </c>
      <c r="N630" s="897">
        <v>73</v>
      </c>
      <c r="O630" s="897">
        <v>73</v>
      </c>
      <c r="P630" s="92">
        <f>Q630-O630-N630-M630</f>
        <v>73</v>
      </c>
      <c r="Q630" s="988">
        <v>292</v>
      </c>
      <c r="R630" s="897">
        <v>73</v>
      </c>
      <c r="S630" s="897">
        <v>72</v>
      </c>
      <c r="T630" s="897">
        <v>73</v>
      </c>
      <c r="U630" s="92">
        <f>V630-SUM(R630,S630,T630)</f>
        <v>77</v>
      </c>
      <c r="V630" s="988">
        <v>295</v>
      </c>
      <c r="W630" s="897">
        <v>85</v>
      </c>
      <c r="X630" s="897">
        <v>83</v>
      </c>
      <c r="Y630" s="897">
        <v>83</v>
      </c>
      <c r="Z630" s="92">
        <f>AA630-SUM(W630,X630,Y630)</f>
        <v>84</v>
      </c>
      <c r="AA630" s="988">
        <v>335</v>
      </c>
      <c r="AB630" s="897">
        <v>83</v>
      </c>
      <c r="AC630" s="897">
        <v>86</v>
      </c>
      <c r="AD630" s="897">
        <v>82</v>
      </c>
      <c r="AE630" s="92">
        <f>AF630-SUM(AB630,AC630,AD630)</f>
        <v>81</v>
      </c>
      <c r="AF630" s="988">
        <v>332</v>
      </c>
      <c r="AG630" s="897">
        <v>83</v>
      </c>
      <c r="AH630" s="897">
        <v>82</v>
      </c>
      <c r="AI630" s="897">
        <v>80</v>
      </c>
      <c r="AJ630" s="92">
        <f t="shared" si="1983"/>
        <v>82</v>
      </c>
      <c r="AK630" s="988">
        <v>327</v>
      </c>
      <c r="AL630" s="897">
        <v>81</v>
      </c>
      <c r="AM630" s="897">
        <v>79</v>
      </c>
      <c r="AN630" s="897">
        <v>78</v>
      </c>
      <c r="AO630" s="897">
        <v>80</v>
      </c>
      <c r="AP630" s="993">
        <f t="shared" si="1979"/>
        <v>318</v>
      </c>
      <c r="AQ630" s="897">
        <v>86</v>
      </c>
      <c r="AR630" s="897">
        <v>91</v>
      </c>
      <c r="AS630" s="897">
        <v>69</v>
      </c>
      <c r="AT630" s="897">
        <v>84</v>
      </c>
      <c r="AU630" s="993">
        <f t="shared" si="1980"/>
        <v>330</v>
      </c>
      <c r="AV630" s="897">
        <v>83</v>
      </c>
      <c r="AW630" s="897">
        <v>83</v>
      </c>
      <c r="AX630" s="897">
        <v>85</v>
      </c>
      <c r="AY630" s="897">
        <v>84</v>
      </c>
      <c r="AZ630" s="993">
        <f t="shared" si="1981"/>
        <v>335</v>
      </c>
      <c r="BA630" s="897">
        <v>86</v>
      </c>
      <c r="BB630" s="897">
        <v>98</v>
      </c>
      <c r="BC630" s="897">
        <v>88</v>
      </c>
      <c r="BD630" s="897">
        <v>107</v>
      </c>
      <c r="BE630" s="993">
        <f t="shared" si="1982"/>
        <v>379</v>
      </c>
      <c r="BF630" s="897">
        <v>97</v>
      </c>
      <c r="BG630" s="897">
        <v>98</v>
      </c>
      <c r="BH630" s="898">
        <v>104</v>
      </c>
      <c r="BI630" s="92"/>
      <c r="BJ630" s="989"/>
      <c r="BK630" s="92"/>
      <c r="BL630" s="92"/>
      <c r="BM630" s="92"/>
      <c r="BN630" s="92"/>
      <c r="BO630" s="989"/>
      <c r="BP630" s="989"/>
      <c r="BQ630" s="989"/>
      <c r="BR630" s="989"/>
      <c r="BS630" s="305"/>
    </row>
    <row r="631" spans="1:71" s="51" customFormat="1" ht="15" hidden="1" outlineLevel="1">
      <c r="A631" s="87" t="s">
        <v>50</v>
      </c>
      <c r="B631" s="506"/>
      <c r="C631" s="996">
        <f t="shared" si="1984" ref="C631:AK631">SUM(C619:C630)</f>
        <v>30772</v>
      </c>
      <c r="D631" s="996">
        <f t="shared" si="1984"/>
        <v>30285</v>
      </c>
      <c r="E631" s="996">
        <f t="shared" si="1984"/>
        <v>31688</v>
      </c>
      <c r="F631" s="996">
        <f t="shared" si="1984"/>
        <v>30027</v>
      </c>
      <c r="G631" s="996">
        <f t="shared" si="1984"/>
        <v>30423</v>
      </c>
      <c r="H631" s="89">
        <f t="shared" si="1984"/>
        <v>7776</v>
      </c>
      <c r="I631" s="89">
        <f t="shared" si="1984"/>
        <v>7914</v>
      </c>
      <c r="J631" s="89">
        <f t="shared" si="1984"/>
        <v>7719</v>
      </c>
      <c r="K631" s="89">
        <f t="shared" si="1984"/>
        <v>7520</v>
      </c>
      <c r="L631" s="996">
        <f t="shared" si="1984"/>
        <v>30929</v>
      </c>
      <c r="M631" s="89">
        <f t="shared" si="1984"/>
        <v>7870</v>
      </c>
      <c r="N631" s="89">
        <f t="shared" si="1984"/>
        <v>8457</v>
      </c>
      <c r="O631" s="89">
        <f t="shared" si="1984"/>
        <v>8075</v>
      </c>
      <c r="P631" s="89">
        <f t="shared" si="1984"/>
        <v>7972</v>
      </c>
      <c r="Q631" s="996">
        <f t="shared" si="1984"/>
        <v>32374</v>
      </c>
      <c r="R631" s="89">
        <f t="shared" si="1984"/>
        <v>8518</v>
      </c>
      <c r="S631" s="89">
        <f t="shared" si="1984"/>
        <v>8789</v>
      </c>
      <c r="T631" s="89">
        <f t="shared" si="1984"/>
        <v>8457</v>
      </c>
      <c r="U631" s="89">
        <f t="shared" si="1984"/>
        <v>8021</v>
      </c>
      <c r="V631" s="996">
        <f t="shared" si="1984"/>
        <v>33785</v>
      </c>
      <c r="W631" s="89">
        <f t="shared" si="1984"/>
        <v>8424</v>
      </c>
      <c r="X631" s="89">
        <f t="shared" si="1984"/>
        <v>8748</v>
      </c>
      <c r="Y631" s="89">
        <f t="shared" si="1984"/>
        <v>8690</v>
      </c>
      <c r="Z631" s="89">
        <f t="shared" si="1984"/>
        <v>8691</v>
      </c>
      <c r="AA631" s="996">
        <f t="shared" si="1984"/>
        <v>34553</v>
      </c>
      <c r="AB631" s="89">
        <f t="shared" si="1984"/>
        <v>8547</v>
      </c>
      <c r="AC631" s="89">
        <f t="shared" si="1984"/>
        <v>9256</v>
      </c>
      <c r="AD631" s="89">
        <f t="shared" si="1984"/>
        <v>9427</v>
      </c>
      <c r="AE631" s="89">
        <f t="shared" si="1984"/>
        <v>9847</v>
      </c>
      <c r="AF631" s="996">
        <f t="shared" si="1984"/>
        <v>37077</v>
      </c>
      <c r="AG631" s="89">
        <f t="shared" si="1984"/>
        <v>9371</v>
      </c>
      <c r="AH631" s="89">
        <f t="shared" si="1984"/>
        <v>10068</v>
      </c>
      <c r="AI631" s="89">
        <f t="shared" si="1984"/>
        <v>9909</v>
      </c>
      <c r="AJ631" s="89">
        <f t="shared" si="1984"/>
        <v>9244</v>
      </c>
      <c r="AK631" s="996">
        <f t="shared" si="1984"/>
        <v>38592</v>
      </c>
      <c r="AL631" s="89">
        <f>SUM(AL619:AL630)</f>
        <v>8835</v>
      </c>
      <c r="AM631" s="89">
        <f>SUM(AM619:AM630)</f>
        <v>9024</v>
      </c>
      <c r="AN631" s="89">
        <f>SUM(AN619:AN630)</f>
        <v>9150</v>
      </c>
      <c r="AO631" s="89">
        <f t="shared" si="1985" ref="AO631:AP631">SUM(AO619:AO630)</f>
        <v>8098</v>
      </c>
      <c r="AP631" s="996">
        <f t="shared" si="1985"/>
        <v>35107</v>
      </c>
      <c r="AQ631" s="89">
        <f t="shared" si="1986" ref="AQ631:AV631">SUM(AQ619:AQ630)</f>
        <v>9419</v>
      </c>
      <c r="AR631" s="89">
        <f t="shared" si="1986"/>
        <v>10849</v>
      </c>
      <c r="AS631" s="89">
        <f t="shared" si="1986"/>
        <v>12254</v>
      </c>
      <c r="AT631" s="89">
        <f t="shared" si="1986"/>
        <v>11618</v>
      </c>
      <c r="AU631" s="996">
        <f t="shared" si="1986"/>
        <v>44140</v>
      </c>
      <c r="AV631" s="89">
        <f t="shared" si="1986"/>
        <v>11535</v>
      </c>
      <c r="AW631" s="89">
        <f t="shared" si="1987" ref="AW631:BJ631">SUM(AW619:AW630)</f>
        <v>13530</v>
      </c>
      <c r="AX631" s="89">
        <f t="shared" si="1987"/>
        <v>14118</v>
      </c>
      <c r="AY631" s="89">
        <f t="shared" si="1987"/>
        <v>14058</v>
      </c>
      <c r="AZ631" s="996">
        <f t="shared" si="1987"/>
        <v>53241</v>
      </c>
      <c r="BA631" s="89">
        <f t="shared" si="1988" ref="BA631:BI631">SUM(BA619:BA630)</f>
        <v>14192</v>
      </c>
      <c r="BB631" s="89">
        <f t="shared" si="1988"/>
        <v>15727</v>
      </c>
      <c r="BC631" s="89">
        <f t="shared" si="1988"/>
        <v>14518</v>
      </c>
      <c r="BD631" s="89">
        <f t="shared" si="1988"/>
        <v>13005</v>
      </c>
      <c r="BE631" s="996">
        <f t="shared" si="1988"/>
        <v>57442</v>
      </c>
      <c r="BF631" s="89">
        <f>SUM(BF619:BF630)</f>
        <v>13795</v>
      </c>
      <c r="BG631" s="89">
        <f>SUM(BG619:BG630)</f>
        <v>15284</v>
      </c>
      <c r="BH631" s="742">
        <f>SUM(BH619:BH630)</f>
        <v>15209</v>
      </c>
      <c r="BI631" s="90">
        <f t="shared" si="1988"/>
        <v>0</v>
      </c>
      <c r="BJ631" s="997">
        <f t="shared" si="1987"/>
        <v>0</v>
      </c>
      <c r="BK631" s="90">
        <f t="shared" si="1989" ref="BK631:BR631">SUM(BK619:BK630)</f>
        <v>0</v>
      </c>
      <c r="BL631" s="90">
        <f t="shared" si="1989"/>
        <v>0</v>
      </c>
      <c r="BM631" s="90">
        <f t="shared" si="1989"/>
        <v>0</v>
      </c>
      <c r="BN631" s="90">
        <f t="shared" si="1989"/>
        <v>0</v>
      </c>
      <c r="BO631" s="997">
        <f t="shared" si="1989"/>
        <v>0</v>
      </c>
      <c r="BP631" s="997">
        <f t="shared" si="1989"/>
        <v>0</v>
      </c>
      <c r="BQ631" s="997">
        <f t="shared" si="1989"/>
        <v>0</v>
      </c>
      <c r="BR631" s="997">
        <f t="shared" si="1989"/>
        <v>0</v>
      </c>
      <c r="BS631" s="57"/>
    </row>
    <row r="632" spans="1:71" s="300" customFormat="1" ht="15" hidden="1" outlineLevel="1">
      <c r="A632" s="304" t="s">
        <v>51</v>
      </c>
      <c r="B632" s="166"/>
      <c r="C632" s="988">
        <v>7</v>
      </c>
      <c r="D632" s="988">
        <v>11</v>
      </c>
      <c r="E632" s="988">
        <v>-7</v>
      </c>
      <c r="F632" s="988">
        <v>18</v>
      </c>
      <c r="G632" s="988">
        <v>-688</v>
      </c>
      <c r="H632" s="897">
        <v>-59</v>
      </c>
      <c r="I632" s="897">
        <v>9</v>
      </c>
      <c r="J632" s="897">
        <v>-27</v>
      </c>
      <c r="K632" s="92">
        <f>L632-J632-I632-H632</f>
        <v>3</v>
      </c>
      <c r="L632" s="988">
        <v>-74</v>
      </c>
      <c r="M632" s="897">
        <v>-1</v>
      </c>
      <c r="N632" s="897">
        <v>1</v>
      </c>
      <c r="O632" s="897">
        <v>2</v>
      </c>
      <c r="P632" s="92">
        <f>Q632-O632-N632-M632</f>
        <v>1</v>
      </c>
      <c r="Q632" s="988">
        <v>3</v>
      </c>
      <c r="R632" s="897">
        <v>2</v>
      </c>
      <c r="S632" s="897">
        <v>1</v>
      </c>
      <c r="T632" s="897">
        <v>1</v>
      </c>
      <c r="U632" s="92">
        <f>V632-SUM(R632,S632,T632)</f>
        <v>1</v>
      </c>
      <c r="V632" s="988">
        <v>5</v>
      </c>
      <c r="W632" s="897">
        <v>2</v>
      </c>
      <c r="X632" s="897">
        <v>12</v>
      </c>
      <c r="Y632" s="897">
        <v>1</v>
      </c>
      <c r="Z632" s="92">
        <f>AA632-SUM(W632,X632,Y632)</f>
        <v>5</v>
      </c>
      <c r="AA632" s="988">
        <v>20</v>
      </c>
      <c r="AB632" s="897">
        <v>1</v>
      </c>
      <c r="AC632" s="897">
        <v>2</v>
      </c>
      <c r="AD632" s="897">
        <v>1</v>
      </c>
      <c r="AE632" s="92">
        <f>AF632-SUM(AB632,AC632,AD632)</f>
        <v>2</v>
      </c>
      <c r="AF632" s="988">
        <v>6</v>
      </c>
      <c r="AG632" s="897">
        <v>1</v>
      </c>
      <c r="AH632" s="897">
        <v>2</v>
      </c>
      <c r="AI632" s="92"/>
      <c r="AJ632" s="92">
        <f>AK632-SUM(AG632,AH632,AI632)</f>
        <v>3</v>
      </c>
      <c r="AK632" s="988">
        <v>6</v>
      </c>
      <c r="AL632" s="897">
        <v>0</v>
      </c>
      <c r="AM632" s="897">
        <v>0</v>
      </c>
      <c r="AN632" s="897">
        <v>0</v>
      </c>
      <c r="AO632" s="897">
        <v>0</v>
      </c>
      <c r="AP632" s="993">
        <f>SUM(AL632,AM632,AN632,AO632)</f>
        <v>0</v>
      </c>
      <c r="AQ632" s="92"/>
      <c r="AR632" s="92"/>
      <c r="AS632" s="92"/>
      <c r="AT632" s="92"/>
      <c r="AU632" s="993">
        <f>SUM(AQ632,AR632,AS632,AT632)</f>
        <v>0</v>
      </c>
      <c r="AV632" s="92"/>
      <c r="AW632" s="92"/>
      <c r="AX632" s="92"/>
      <c r="AY632" s="92"/>
      <c r="AZ632" s="993">
        <f>SUM(AV632,AW632,AX632,AY632)</f>
        <v>0</v>
      </c>
      <c r="BA632" s="92"/>
      <c r="BB632" s="92"/>
      <c r="BC632" s="92"/>
      <c r="BD632" s="92"/>
      <c r="BE632" s="993">
        <f>SUM(BA632,BB632,BC632,BD632)</f>
        <v>0</v>
      </c>
      <c r="BF632" s="92"/>
      <c r="BG632" s="92"/>
      <c r="BH632" s="464"/>
      <c r="BI632" s="92"/>
      <c r="BJ632" s="989"/>
      <c r="BK632" s="92"/>
      <c r="BL632" s="92"/>
      <c r="BM632" s="92"/>
      <c r="BN632" s="92"/>
      <c r="BO632" s="989"/>
      <c r="BP632" s="989"/>
      <c r="BQ632" s="989"/>
      <c r="BR632" s="989"/>
      <c r="BS632" s="305"/>
    </row>
    <row r="633" spans="1:71" s="51" customFormat="1" ht="15" hidden="1" outlineLevel="1">
      <c r="A633" s="87" t="s">
        <v>52</v>
      </c>
      <c r="B633" s="506"/>
      <c r="C633" s="996">
        <f t="shared" si="1990" ref="C633:AK633">C618-C631+C632</f>
        <v>1248</v>
      </c>
      <c r="D633" s="996">
        <f t="shared" si="1990"/>
        <v>1126</v>
      </c>
      <c r="E633" s="996">
        <f t="shared" si="1990"/>
        <v>959</v>
      </c>
      <c r="F633" s="996">
        <f t="shared" si="1990"/>
        <v>3306</v>
      </c>
      <c r="G633" s="996">
        <f t="shared" si="1990"/>
        <v>3396</v>
      </c>
      <c r="H633" s="89">
        <f t="shared" si="1990"/>
        <v>849</v>
      </c>
      <c r="I633" s="89">
        <f t="shared" si="1990"/>
        <v>955</v>
      </c>
      <c r="J633" s="89">
        <f t="shared" si="1990"/>
        <v>1190</v>
      </c>
      <c r="K633" s="89">
        <f t="shared" si="1990"/>
        <v>1242</v>
      </c>
      <c r="L633" s="996">
        <f t="shared" si="1990"/>
        <v>4236</v>
      </c>
      <c r="M633" s="89">
        <f t="shared" si="1990"/>
        <v>1081</v>
      </c>
      <c r="N633" s="89">
        <f t="shared" si="1990"/>
        <v>526</v>
      </c>
      <c r="O633" s="89">
        <f t="shared" si="1990"/>
        <v>955</v>
      </c>
      <c r="P633" s="89">
        <f t="shared" si="1990"/>
        <v>720</v>
      </c>
      <c r="Q633" s="996">
        <f t="shared" si="1990"/>
        <v>3282</v>
      </c>
      <c r="R633" s="89">
        <f t="shared" si="1990"/>
        <v>355</v>
      </c>
      <c r="S633" s="89">
        <f t="shared" si="1990"/>
        <v>376</v>
      </c>
      <c r="T633" s="89">
        <f t="shared" si="1990"/>
        <v>765</v>
      </c>
      <c r="U633" s="89">
        <f t="shared" si="1990"/>
        <v>1258</v>
      </c>
      <c r="V633" s="996">
        <f t="shared" si="1990"/>
        <v>2754</v>
      </c>
      <c r="W633" s="89">
        <f t="shared" si="1990"/>
        <v>1012</v>
      </c>
      <c r="X633" s="89">
        <f t="shared" si="1990"/>
        <v>851</v>
      </c>
      <c r="Y633" s="89">
        <f t="shared" si="1990"/>
        <v>971</v>
      </c>
      <c r="Z633" s="89">
        <f t="shared" si="1990"/>
        <v>1157</v>
      </c>
      <c r="AA633" s="996">
        <f t="shared" si="1990"/>
        <v>3991</v>
      </c>
      <c r="AB633" s="89">
        <f t="shared" si="1990"/>
        <v>1224</v>
      </c>
      <c r="AC633" s="89">
        <f t="shared" si="1990"/>
        <v>845</v>
      </c>
      <c r="AD633" s="89">
        <f t="shared" si="1990"/>
        <v>1039</v>
      </c>
      <c r="AE633" s="89">
        <f t="shared" si="1990"/>
        <v>-364</v>
      </c>
      <c r="AF633" s="996">
        <f t="shared" si="1990"/>
        <v>2744</v>
      </c>
      <c r="AG633" s="89">
        <f t="shared" si="1990"/>
        <v>1620</v>
      </c>
      <c r="AH633" s="89">
        <f t="shared" si="1990"/>
        <v>1078</v>
      </c>
      <c r="AI633" s="89">
        <f t="shared" si="1990"/>
        <v>1160</v>
      </c>
      <c r="AJ633" s="89">
        <f t="shared" si="1990"/>
        <v>2231</v>
      </c>
      <c r="AK633" s="996">
        <f t="shared" si="1990"/>
        <v>6089</v>
      </c>
      <c r="AL633" s="89">
        <f>AL618-AL631+AL632</f>
        <v>1031</v>
      </c>
      <c r="AM633" s="89">
        <f>AM618-AM631+AM632</f>
        <v>1379</v>
      </c>
      <c r="AN633" s="89">
        <f>AN618-AN631+AN632</f>
        <v>1528</v>
      </c>
      <c r="AO633" s="89">
        <f t="shared" si="1991" ref="AO633:AP633">AO618-AO631+AO632</f>
        <v>2864</v>
      </c>
      <c r="AP633" s="996">
        <f t="shared" si="1991"/>
        <v>6802</v>
      </c>
      <c r="AQ633" s="89">
        <f t="shared" si="1992" ref="AQ633:AV633">AQ618-AQ631+AQ632</f>
        <v>3032</v>
      </c>
      <c r="AR633" s="89">
        <f t="shared" si="1992"/>
        <v>1797</v>
      </c>
      <c r="AS633" s="89">
        <f t="shared" si="1992"/>
        <v>226</v>
      </c>
      <c r="AT633" s="89">
        <f t="shared" si="1992"/>
        <v>1393</v>
      </c>
      <c r="AU633" s="996">
        <f t="shared" si="1992"/>
        <v>6448</v>
      </c>
      <c r="AV633" s="89">
        <f t="shared" si="1992"/>
        <v>801</v>
      </c>
      <c r="AW633" s="89">
        <f t="shared" si="1993" ref="AW633:BJ633">AW618-AW631+AW632</f>
        <v>-1311</v>
      </c>
      <c r="AX633" s="89">
        <f t="shared" si="1993"/>
        <v>-910</v>
      </c>
      <c r="AY633" s="89">
        <f t="shared" si="1993"/>
        <v>-410</v>
      </c>
      <c r="AZ633" s="996">
        <f t="shared" si="1993"/>
        <v>-1830</v>
      </c>
      <c r="BA633" s="89">
        <f t="shared" si="1994" ref="BA633:BI633">BA618-BA631+BA632</f>
        <v>-406</v>
      </c>
      <c r="BB633" s="89">
        <f t="shared" si="1994"/>
        <v>-1748</v>
      </c>
      <c r="BC633" s="89">
        <f t="shared" si="1994"/>
        <v>-21</v>
      </c>
      <c r="BD633" s="89">
        <f t="shared" si="1994"/>
        <v>1827</v>
      </c>
      <c r="BE633" s="996">
        <f t="shared" si="1994"/>
        <v>-348</v>
      </c>
      <c r="BF633" s="89">
        <f>BF618-BF631+BF632</f>
        <v>1464</v>
      </c>
      <c r="BG633" s="89">
        <f>BG618-BG631+BG632</f>
        <v>430</v>
      </c>
      <c r="BH633" s="742">
        <f>BH618-BH631+BH632</f>
        <v>1418</v>
      </c>
      <c r="BI633" s="90">
        <f t="shared" si="1994"/>
        <v>0</v>
      </c>
      <c r="BJ633" s="997">
        <f t="shared" si="1993"/>
        <v>0</v>
      </c>
      <c r="BK633" s="90">
        <f t="shared" si="1995" ref="BK633:BR633">BK618-BK631+BK632</f>
        <v>0</v>
      </c>
      <c r="BL633" s="90">
        <f t="shared" si="1995"/>
        <v>0</v>
      </c>
      <c r="BM633" s="90">
        <f t="shared" si="1995"/>
        <v>0</v>
      </c>
      <c r="BN633" s="90">
        <f t="shared" si="1995"/>
        <v>0</v>
      </c>
      <c r="BO633" s="997">
        <f t="shared" si="1995"/>
        <v>0</v>
      </c>
      <c r="BP633" s="997">
        <f t="shared" si="1995"/>
        <v>0</v>
      </c>
      <c r="BQ633" s="997">
        <f t="shared" si="1995"/>
        <v>0</v>
      </c>
      <c r="BR633" s="997">
        <f t="shared" si="1995"/>
        <v>0</v>
      </c>
      <c r="BS633" s="57"/>
    </row>
    <row r="634" spans="1:71" s="300" customFormat="1" ht="15" hidden="1" outlineLevel="1">
      <c r="A634" s="304" t="s">
        <v>53</v>
      </c>
      <c r="B634" s="166"/>
      <c r="C634" s="988">
        <v>394</v>
      </c>
      <c r="D634" s="988">
        <v>198</v>
      </c>
      <c r="E634" s="988">
        <v>172</v>
      </c>
      <c r="F634" s="988">
        <v>1000</v>
      </c>
      <c r="G634" s="988">
        <v>1116</v>
      </c>
      <c r="H634" s="897">
        <v>249</v>
      </c>
      <c r="I634" s="897">
        <v>310</v>
      </c>
      <c r="J634" s="897">
        <v>409</v>
      </c>
      <c r="K634" s="92">
        <f>L634-J634-I634-H634</f>
        <v>418</v>
      </c>
      <c r="L634" s="988">
        <v>1386</v>
      </c>
      <c r="M634" s="897">
        <v>404</v>
      </c>
      <c r="N634" s="897">
        <v>171</v>
      </c>
      <c r="O634" s="897">
        <v>305</v>
      </c>
      <c r="P634" s="92">
        <f>Q634-O634-N634-M634</f>
        <v>231</v>
      </c>
      <c r="Q634" s="988">
        <v>1111</v>
      </c>
      <c r="R634" s="897">
        <v>109</v>
      </c>
      <c r="S634" s="897">
        <v>105</v>
      </c>
      <c r="T634" s="897">
        <v>245</v>
      </c>
      <c r="U634" s="92">
        <f>V634-SUM(R634,S634,T634)</f>
        <v>418</v>
      </c>
      <c r="V634" s="988">
        <v>877</v>
      </c>
      <c r="W634" s="897">
        <v>317</v>
      </c>
      <c r="X634" s="897">
        <v>272</v>
      </c>
      <c r="Y634" s="897">
        <v>305</v>
      </c>
      <c r="Z634" s="92">
        <f>AA634-SUM(W634,X634,Y634)</f>
        <v>-92</v>
      </c>
      <c r="AA634" s="988">
        <v>802</v>
      </c>
      <c r="AB634" s="897">
        <v>249</v>
      </c>
      <c r="AC634" s="897">
        <v>169</v>
      </c>
      <c r="AD634" s="897">
        <v>169</v>
      </c>
      <c r="AE634" s="92">
        <f>AF634-SUM(AB634,AC634,AD634)</f>
        <v>-95</v>
      </c>
      <c r="AF634" s="988">
        <v>492</v>
      </c>
      <c r="AG634" s="897">
        <v>328</v>
      </c>
      <c r="AH634" s="897">
        <v>227</v>
      </c>
      <c r="AI634" s="897">
        <v>229</v>
      </c>
      <c r="AJ634" s="92">
        <f>AK634-SUM(AG634,AH634,AI634)</f>
        <v>458</v>
      </c>
      <c r="AK634" s="988">
        <v>1242</v>
      </c>
      <c r="AL634" s="897">
        <v>194</v>
      </c>
      <c r="AM634" s="897">
        <v>273</v>
      </c>
      <c r="AN634" s="897">
        <v>312</v>
      </c>
      <c r="AO634" s="897">
        <v>594</v>
      </c>
      <c r="AP634" s="993">
        <f>SUM(AL634,AM634,AN634,AO634)</f>
        <v>1373</v>
      </c>
      <c r="AQ634" s="897">
        <v>626</v>
      </c>
      <c r="AR634" s="897">
        <v>362</v>
      </c>
      <c r="AS634" s="897">
        <v>20</v>
      </c>
      <c r="AT634" s="897">
        <v>281</v>
      </c>
      <c r="AU634" s="993">
        <f>SUM(AQ634,AR634,AS634,AT634)</f>
        <v>1289</v>
      </c>
      <c r="AV634" s="897">
        <v>151</v>
      </c>
      <c r="AW634" s="897">
        <v>-289</v>
      </c>
      <c r="AX634" s="897">
        <v>-236</v>
      </c>
      <c r="AY634" s="897">
        <v>-114</v>
      </c>
      <c r="AZ634" s="993">
        <f>SUM(AV634,AW634,AX634,AY634)</f>
        <v>-488</v>
      </c>
      <c r="BA634" s="897">
        <v>-85</v>
      </c>
      <c r="BB634" s="897">
        <v>-373</v>
      </c>
      <c r="BC634" s="897">
        <v>-17</v>
      </c>
      <c r="BD634" s="897">
        <v>340</v>
      </c>
      <c r="BE634" s="993">
        <f>SUM(BA634,BB634,BC634,BD634)</f>
        <v>-135</v>
      </c>
      <c r="BF634" s="897">
        <v>266</v>
      </c>
      <c r="BG634" s="897">
        <v>83</v>
      </c>
      <c r="BH634" s="898">
        <v>254</v>
      </c>
      <c r="BI634" s="92"/>
      <c r="BJ634" s="989"/>
      <c r="BK634" s="92"/>
      <c r="BL634" s="92"/>
      <c r="BM634" s="92"/>
      <c r="BN634" s="92"/>
      <c r="BO634" s="989"/>
      <c r="BP634" s="989"/>
      <c r="BQ634" s="989"/>
      <c r="BR634" s="989"/>
      <c r="BS634" s="305"/>
    </row>
    <row r="635" spans="1:71" s="51" customFormat="1" ht="15" hidden="1" outlineLevel="1">
      <c r="A635" s="87" t="s">
        <v>664</v>
      </c>
      <c r="B635" s="506"/>
      <c r="C635" s="996">
        <f t="shared" si="1996" ref="C635:AK635">C633-C634</f>
        <v>854</v>
      </c>
      <c r="D635" s="996">
        <f t="shared" si="1996"/>
        <v>928</v>
      </c>
      <c r="E635" s="996">
        <f t="shared" si="1996"/>
        <v>787</v>
      </c>
      <c r="F635" s="996">
        <f t="shared" si="1996"/>
        <v>2306</v>
      </c>
      <c r="G635" s="996">
        <f t="shared" si="1996"/>
        <v>2280</v>
      </c>
      <c r="H635" s="89">
        <f t="shared" si="1996"/>
        <v>600</v>
      </c>
      <c r="I635" s="89">
        <f t="shared" si="1996"/>
        <v>645</v>
      </c>
      <c r="J635" s="89">
        <f t="shared" si="1996"/>
        <v>781</v>
      </c>
      <c r="K635" s="89">
        <f t="shared" si="1996"/>
        <v>824</v>
      </c>
      <c r="L635" s="996">
        <f t="shared" si="1996"/>
        <v>2850</v>
      </c>
      <c r="M635" s="89">
        <f t="shared" si="1996"/>
        <v>677</v>
      </c>
      <c r="N635" s="89">
        <f t="shared" si="1996"/>
        <v>355</v>
      </c>
      <c r="O635" s="89">
        <f t="shared" si="1996"/>
        <v>650</v>
      </c>
      <c r="P635" s="89">
        <f t="shared" si="1996"/>
        <v>489</v>
      </c>
      <c r="Q635" s="996">
        <f t="shared" si="1996"/>
        <v>2171</v>
      </c>
      <c r="R635" s="89">
        <f t="shared" si="1996"/>
        <v>246</v>
      </c>
      <c r="S635" s="89">
        <f t="shared" si="1996"/>
        <v>271</v>
      </c>
      <c r="T635" s="89">
        <f t="shared" si="1996"/>
        <v>520</v>
      </c>
      <c r="U635" s="89">
        <f t="shared" si="1996"/>
        <v>840</v>
      </c>
      <c r="V635" s="996">
        <f t="shared" si="1996"/>
        <v>1877</v>
      </c>
      <c r="W635" s="89">
        <f t="shared" si="1996"/>
        <v>695</v>
      </c>
      <c r="X635" s="89">
        <f t="shared" si="1996"/>
        <v>579</v>
      </c>
      <c r="Y635" s="89">
        <f t="shared" si="1996"/>
        <v>666</v>
      </c>
      <c r="Z635" s="89">
        <f t="shared" si="1996"/>
        <v>1249</v>
      </c>
      <c r="AA635" s="996">
        <f t="shared" si="1996"/>
        <v>3189</v>
      </c>
      <c r="AB635" s="89">
        <f t="shared" si="1996"/>
        <v>975</v>
      </c>
      <c r="AC635" s="89">
        <f t="shared" si="1996"/>
        <v>676</v>
      </c>
      <c r="AD635" s="89">
        <f t="shared" si="1996"/>
        <v>870</v>
      </c>
      <c r="AE635" s="89">
        <f t="shared" si="1996"/>
        <v>-269</v>
      </c>
      <c r="AF635" s="996">
        <f t="shared" si="1996"/>
        <v>2252</v>
      </c>
      <c r="AG635" s="89">
        <f t="shared" si="1996"/>
        <v>1292</v>
      </c>
      <c r="AH635" s="89">
        <f t="shared" si="1996"/>
        <v>851</v>
      </c>
      <c r="AI635" s="89">
        <f t="shared" si="1996"/>
        <v>931</v>
      </c>
      <c r="AJ635" s="89">
        <f t="shared" si="1996"/>
        <v>1773</v>
      </c>
      <c r="AK635" s="996">
        <f t="shared" si="1996"/>
        <v>4847</v>
      </c>
      <c r="AL635" s="89">
        <f>AL633-AL634</f>
        <v>837</v>
      </c>
      <c r="AM635" s="89">
        <f>AM633-AM634</f>
        <v>1106</v>
      </c>
      <c r="AN635" s="89">
        <f>AN633-AN634</f>
        <v>1216</v>
      </c>
      <c r="AO635" s="89">
        <f t="shared" si="1997" ref="AO635:AP635">AO633-AO634</f>
        <v>2270</v>
      </c>
      <c r="AP635" s="996">
        <f t="shared" si="1997"/>
        <v>5429</v>
      </c>
      <c r="AQ635" s="89">
        <f t="shared" si="1998" ref="AQ635:AV635">AQ633-AQ634</f>
        <v>2406</v>
      </c>
      <c r="AR635" s="89">
        <f t="shared" si="1998"/>
        <v>1435</v>
      </c>
      <c r="AS635" s="89">
        <f t="shared" si="1998"/>
        <v>206</v>
      </c>
      <c r="AT635" s="89">
        <f t="shared" si="1998"/>
        <v>1112</v>
      </c>
      <c r="AU635" s="996">
        <f t="shared" si="1998"/>
        <v>5159</v>
      </c>
      <c r="AV635" s="89">
        <f t="shared" si="1998"/>
        <v>650</v>
      </c>
      <c r="AW635" s="89">
        <f t="shared" si="1999" ref="AW635:BJ635">AW633-AW634</f>
        <v>-1022</v>
      </c>
      <c r="AX635" s="89">
        <f t="shared" si="1999"/>
        <v>-674</v>
      </c>
      <c r="AY635" s="89">
        <f t="shared" si="1999"/>
        <v>-296</v>
      </c>
      <c r="AZ635" s="996">
        <f t="shared" si="1999"/>
        <v>-1342</v>
      </c>
      <c r="BA635" s="89">
        <f t="shared" si="2000" ref="BA635:BI635">BA633-BA634</f>
        <v>-321</v>
      </c>
      <c r="BB635" s="89">
        <f t="shared" si="2000"/>
        <v>-1375</v>
      </c>
      <c r="BC635" s="89">
        <f t="shared" si="2000"/>
        <v>-4</v>
      </c>
      <c r="BD635" s="89">
        <f t="shared" si="2000"/>
        <v>1487</v>
      </c>
      <c r="BE635" s="996">
        <f t="shared" si="2000"/>
        <v>-213</v>
      </c>
      <c r="BF635" s="89">
        <f>BF633-BF634</f>
        <v>1198</v>
      </c>
      <c r="BG635" s="89">
        <f>BG633-BG634</f>
        <v>347</v>
      </c>
      <c r="BH635" s="742">
        <f>BH633-BH634</f>
        <v>1164</v>
      </c>
      <c r="BI635" s="90">
        <f t="shared" si="2000"/>
        <v>0</v>
      </c>
      <c r="BJ635" s="997">
        <f t="shared" si="1999"/>
        <v>0</v>
      </c>
      <c r="BK635" s="90">
        <f t="shared" si="2001" ref="BK635:BR635">BK633-BK634</f>
        <v>0</v>
      </c>
      <c r="BL635" s="90">
        <f t="shared" si="2001"/>
        <v>0</v>
      </c>
      <c r="BM635" s="90">
        <f t="shared" si="2001"/>
        <v>0</v>
      </c>
      <c r="BN635" s="90">
        <f t="shared" si="2001"/>
        <v>0</v>
      </c>
      <c r="BO635" s="997">
        <f t="shared" si="2001"/>
        <v>0</v>
      </c>
      <c r="BP635" s="997">
        <f t="shared" si="2001"/>
        <v>0</v>
      </c>
      <c r="BQ635" s="997">
        <f t="shared" si="2001"/>
        <v>0</v>
      </c>
      <c r="BR635" s="997">
        <f t="shared" si="2001"/>
        <v>0</v>
      </c>
      <c r="BS635" s="57"/>
    </row>
    <row r="636" spans="1:71" s="300" customFormat="1" ht="15" hidden="1" outlineLevel="1">
      <c r="A636" s="110" t="s">
        <v>665</v>
      </c>
      <c r="B636" s="395"/>
      <c r="C636" s="990">
        <v>0</v>
      </c>
      <c r="D636" s="990">
        <v>0</v>
      </c>
      <c r="E636" s="990">
        <v>0</v>
      </c>
      <c r="F636" s="990">
        <v>0</v>
      </c>
      <c r="G636" s="990">
        <v>0</v>
      </c>
      <c r="H636" s="900">
        <v>0</v>
      </c>
      <c r="I636" s="900">
        <v>0</v>
      </c>
      <c r="J636" s="900">
        <v>0</v>
      </c>
      <c r="K636" s="900">
        <v>0</v>
      </c>
      <c r="L636" s="990">
        <v>0</v>
      </c>
      <c r="M636" s="900">
        <v>0</v>
      </c>
      <c r="N636" s="900">
        <v>0</v>
      </c>
      <c r="O636" s="900">
        <v>0</v>
      </c>
      <c r="P636" s="900">
        <v>0</v>
      </c>
      <c r="Q636" s="990">
        <v>0</v>
      </c>
      <c r="R636" s="900">
        <v>0</v>
      </c>
      <c r="S636" s="900">
        <v>0</v>
      </c>
      <c r="T636" s="900">
        <v>0</v>
      </c>
      <c r="U636" s="900">
        <v>0</v>
      </c>
      <c r="V636" s="990">
        <v>0</v>
      </c>
      <c r="W636" s="900">
        <v>0</v>
      </c>
      <c r="X636" s="900">
        <v>0</v>
      </c>
      <c r="Y636" s="900">
        <v>0</v>
      </c>
      <c r="Z636" s="900">
        <v>0</v>
      </c>
      <c r="AA636" s="990">
        <v>0</v>
      </c>
      <c r="AB636" s="900">
        <v>0</v>
      </c>
      <c r="AC636" s="900">
        <v>0</v>
      </c>
      <c r="AD636" s="900">
        <v>0</v>
      </c>
      <c r="AE636" s="900">
        <v>0</v>
      </c>
      <c r="AF636" s="990">
        <v>0</v>
      </c>
      <c r="AG636" s="900">
        <v>0</v>
      </c>
      <c r="AH636" s="900">
        <v>0</v>
      </c>
      <c r="AI636" s="900">
        <v>0</v>
      </c>
      <c r="AJ636" s="900">
        <v>0</v>
      </c>
      <c r="AK636" s="990">
        <v>0</v>
      </c>
      <c r="AL636" s="900">
        <v>-288</v>
      </c>
      <c r="AM636" s="900">
        <v>144</v>
      </c>
      <c r="AN636" s="900">
        <v>-63</v>
      </c>
      <c r="AO636" s="900">
        <v>354</v>
      </c>
      <c r="AP636" s="998">
        <f>SUM(AL636,AM636,AN636,AO636)</f>
        <v>147</v>
      </c>
      <c r="AQ636" s="900">
        <v>-3793</v>
      </c>
      <c r="AR636" s="900">
        <v>196</v>
      </c>
      <c r="AS636" s="900">
        <v>325</v>
      </c>
      <c r="AT636" s="900">
        <v>-321</v>
      </c>
      <c r="AU636" s="998">
        <f>SUM(AQ636,AR636,AS636,AT636)</f>
        <v>-3593</v>
      </c>
      <c r="AV636" s="900">
        <v>0</v>
      </c>
      <c r="AW636" s="900">
        <v>0</v>
      </c>
      <c r="AX636" s="900">
        <v>0</v>
      </c>
      <c r="AY636" s="115"/>
      <c r="AZ636" s="998">
        <f>SUM(AV636,AW636,AX636,AY636)</f>
        <v>0</v>
      </c>
      <c r="BA636" s="900">
        <v>0</v>
      </c>
      <c r="BB636" s="115"/>
      <c r="BC636" s="115"/>
      <c r="BD636" s="115"/>
      <c r="BE636" s="998">
        <f>SUM(BA636,BB636,BC636,BD636)</f>
        <v>0</v>
      </c>
      <c r="BF636" s="115"/>
      <c r="BG636" s="115"/>
      <c r="BH636" s="641"/>
      <c r="BI636" s="115"/>
      <c r="BJ636" s="995"/>
      <c r="BK636" s="115"/>
      <c r="BL636" s="115"/>
      <c r="BM636" s="115"/>
      <c r="BN636" s="115"/>
      <c r="BO636" s="995"/>
      <c r="BP636" s="995"/>
      <c r="BQ636" s="995"/>
      <c r="BR636" s="995"/>
      <c r="BS636" s="305"/>
    </row>
    <row r="637" spans="1:71" s="51" customFormat="1" ht="15" hidden="1" outlineLevel="1">
      <c r="A637" s="109" t="s">
        <v>666</v>
      </c>
      <c r="B637" s="483"/>
      <c r="C637" s="999">
        <f t="shared" si="2002" ref="C637:AP637">SUM(C635:C636)</f>
        <v>854</v>
      </c>
      <c r="D637" s="999">
        <f t="shared" si="2002"/>
        <v>928</v>
      </c>
      <c r="E637" s="999">
        <f t="shared" si="2002"/>
        <v>787</v>
      </c>
      <c r="F637" s="999">
        <f t="shared" si="2002"/>
        <v>2306</v>
      </c>
      <c r="G637" s="999">
        <f t="shared" si="2002"/>
        <v>2280</v>
      </c>
      <c r="H637" s="57">
        <f t="shared" si="2002"/>
        <v>600</v>
      </c>
      <c r="I637" s="57">
        <f t="shared" si="2002"/>
        <v>645</v>
      </c>
      <c r="J637" s="57">
        <f t="shared" si="2002"/>
        <v>781</v>
      </c>
      <c r="K637" s="57">
        <f t="shared" si="2002"/>
        <v>824</v>
      </c>
      <c r="L637" s="999">
        <f t="shared" si="2002"/>
        <v>2850</v>
      </c>
      <c r="M637" s="57">
        <f t="shared" si="2002"/>
        <v>677</v>
      </c>
      <c r="N637" s="57">
        <f t="shared" si="2002"/>
        <v>355</v>
      </c>
      <c r="O637" s="57">
        <f t="shared" si="2002"/>
        <v>650</v>
      </c>
      <c r="P637" s="57">
        <f t="shared" si="2002"/>
        <v>489</v>
      </c>
      <c r="Q637" s="999">
        <f t="shared" si="2002"/>
        <v>2171</v>
      </c>
      <c r="R637" s="57">
        <f t="shared" si="2002"/>
        <v>246</v>
      </c>
      <c r="S637" s="57">
        <f t="shared" si="2002"/>
        <v>271</v>
      </c>
      <c r="T637" s="57">
        <f t="shared" si="2002"/>
        <v>520</v>
      </c>
      <c r="U637" s="57">
        <f t="shared" si="2002"/>
        <v>840</v>
      </c>
      <c r="V637" s="999">
        <f t="shared" si="2002"/>
        <v>1877</v>
      </c>
      <c r="W637" s="57">
        <f t="shared" si="2002"/>
        <v>695</v>
      </c>
      <c r="X637" s="57">
        <f t="shared" si="2002"/>
        <v>579</v>
      </c>
      <c r="Y637" s="57">
        <f t="shared" si="2002"/>
        <v>666</v>
      </c>
      <c r="Z637" s="57">
        <f t="shared" si="2002"/>
        <v>1249</v>
      </c>
      <c r="AA637" s="999">
        <f t="shared" si="2002"/>
        <v>3189</v>
      </c>
      <c r="AB637" s="57">
        <f t="shared" si="2002"/>
        <v>975</v>
      </c>
      <c r="AC637" s="57">
        <f t="shared" si="2002"/>
        <v>676</v>
      </c>
      <c r="AD637" s="57">
        <f t="shared" si="2002"/>
        <v>870</v>
      </c>
      <c r="AE637" s="57">
        <f t="shared" si="2002"/>
        <v>-269</v>
      </c>
      <c r="AF637" s="999">
        <f t="shared" si="2002"/>
        <v>2252</v>
      </c>
      <c r="AG637" s="57">
        <f t="shared" si="2002"/>
        <v>1292</v>
      </c>
      <c r="AH637" s="57">
        <f t="shared" si="2002"/>
        <v>851</v>
      </c>
      <c r="AI637" s="57">
        <f t="shared" si="2002"/>
        <v>931</v>
      </c>
      <c r="AJ637" s="57">
        <f t="shared" si="2002"/>
        <v>1773</v>
      </c>
      <c r="AK637" s="999">
        <f t="shared" si="2002"/>
        <v>4847</v>
      </c>
      <c r="AL637" s="57">
        <f>SUM(AL635:AL636)</f>
        <v>549</v>
      </c>
      <c r="AM637" s="57">
        <f t="shared" si="2002"/>
        <v>1250</v>
      </c>
      <c r="AN637" s="57">
        <f t="shared" si="2002"/>
        <v>1153</v>
      </c>
      <c r="AO637" s="57">
        <f t="shared" si="2002"/>
        <v>2624</v>
      </c>
      <c r="AP637" s="999">
        <f t="shared" si="2002"/>
        <v>5576</v>
      </c>
      <c r="AQ637" s="57">
        <f t="shared" si="2003" ref="AQ637:AV637">SUM(AQ635:AQ636)</f>
        <v>-1387</v>
      </c>
      <c r="AR637" s="57">
        <f t="shared" si="2003"/>
        <v>1631</v>
      </c>
      <c r="AS637" s="57">
        <f t="shared" si="2003"/>
        <v>531</v>
      </c>
      <c r="AT637" s="57">
        <f t="shared" si="2003"/>
        <v>791</v>
      </c>
      <c r="AU637" s="999">
        <f t="shared" si="2003"/>
        <v>1566</v>
      </c>
      <c r="AV637" s="57">
        <f t="shared" si="2003"/>
        <v>650</v>
      </c>
      <c r="AW637" s="57">
        <f t="shared" si="2004" ref="AW637:BB637">SUM(AW635:AW636)</f>
        <v>-1022</v>
      </c>
      <c r="AX637" s="57">
        <f t="shared" si="2004"/>
        <v>-674</v>
      </c>
      <c r="AY637" s="57">
        <f t="shared" si="2004"/>
        <v>-296</v>
      </c>
      <c r="AZ637" s="999">
        <f t="shared" si="2004"/>
        <v>-1342</v>
      </c>
      <c r="BA637" s="57">
        <f t="shared" si="2004"/>
        <v>-321</v>
      </c>
      <c r="BB637" s="57">
        <f t="shared" si="2004"/>
        <v>-1375</v>
      </c>
      <c r="BC637" s="57">
        <f t="shared" si="2005" ref="BC637:BH637">SUM(BC635:BC636)</f>
        <v>-4</v>
      </c>
      <c r="BD637" s="57">
        <f t="shared" si="2005"/>
        <v>1487</v>
      </c>
      <c r="BE637" s="999">
        <f t="shared" si="2005"/>
        <v>-213</v>
      </c>
      <c r="BF637" s="57">
        <f t="shared" si="2005"/>
        <v>1198</v>
      </c>
      <c r="BG637" s="57">
        <f t="shared" si="2005"/>
        <v>347</v>
      </c>
      <c r="BH637" s="745">
        <f t="shared" si="2005"/>
        <v>1164</v>
      </c>
      <c r="BI637" s="128"/>
      <c r="BJ637" s="1000"/>
      <c r="BK637" s="128"/>
      <c r="BL637" s="128"/>
      <c r="BM637" s="128"/>
      <c r="BN637" s="128"/>
      <c r="BO637" s="1000"/>
      <c r="BP637" s="1000"/>
      <c r="BQ637" s="1000"/>
      <c r="BR637" s="1000"/>
      <c r="BS637" s="57"/>
    </row>
    <row r="638" spans="1:71" s="300" customFormat="1" ht="15" hidden="1" outlineLevel="1">
      <c r="A638" s="110" t="s">
        <v>662</v>
      </c>
      <c r="B638" s="395"/>
      <c r="C638" s="990">
        <v>0</v>
      </c>
      <c r="D638" s="990">
        <v>0</v>
      </c>
      <c r="E638" s="990">
        <v>0</v>
      </c>
      <c r="F638" s="990">
        <v>0</v>
      </c>
      <c r="G638" s="990">
        <v>0</v>
      </c>
      <c r="H638" s="900">
        <v>0</v>
      </c>
      <c r="I638" s="900">
        <v>0</v>
      </c>
      <c r="J638" s="900">
        <v>0</v>
      </c>
      <c r="K638" s="900">
        <v>0</v>
      </c>
      <c r="L638" s="990">
        <v>0</v>
      </c>
      <c r="M638" s="900">
        <v>0</v>
      </c>
      <c r="N638" s="900">
        <v>0</v>
      </c>
      <c r="O638" s="900">
        <v>0</v>
      </c>
      <c r="P638" s="900">
        <v>0</v>
      </c>
      <c r="Q638" s="990">
        <v>0</v>
      </c>
      <c r="R638" s="900">
        <v>0</v>
      </c>
      <c r="S638" s="900">
        <v>0</v>
      </c>
      <c r="T638" s="900">
        <v>0</v>
      </c>
      <c r="U638" s="900">
        <v>0</v>
      </c>
      <c r="V638" s="990">
        <v>0</v>
      </c>
      <c r="W638" s="900">
        <v>0</v>
      </c>
      <c r="X638" s="900">
        <v>0</v>
      </c>
      <c r="Y638" s="900">
        <v>0</v>
      </c>
      <c r="Z638" s="900">
        <v>0</v>
      </c>
      <c r="AA638" s="990">
        <v>0</v>
      </c>
      <c r="AB638" s="900">
        <v>0</v>
      </c>
      <c r="AC638" s="900">
        <v>0</v>
      </c>
      <c r="AD638" s="900">
        <v>0</v>
      </c>
      <c r="AE638" s="900">
        <v>0</v>
      </c>
      <c r="AF638" s="990">
        <v>0</v>
      </c>
      <c r="AG638" s="900">
        <v>0</v>
      </c>
      <c r="AH638" s="900">
        <v>0</v>
      </c>
      <c r="AI638" s="900">
        <v>0</v>
      </c>
      <c r="AJ638" s="900">
        <v>0</v>
      </c>
      <c r="AK638" s="990">
        <v>0</v>
      </c>
      <c r="AL638" s="900">
        <v>0</v>
      </c>
      <c r="AM638" s="900">
        <v>0</v>
      </c>
      <c r="AN638" s="900">
        <v>0</v>
      </c>
      <c r="AO638" s="900">
        <v>0</v>
      </c>
      <c r="AP638" s="998">
        <f>SUM(AL638,AM638,AN638,AO638)</f>
        <v>0</v>
      </c>
      <c r="AQ638" s="900">
        <v>-6</v>
      </c>
      <c r="AR638" s="900">
        <v>6</v>
      </c>
      <c r="AS638" s="900">
        <v>-7</v>
      </c>
      <c r="AT638" s="900">
        <v>-26</v>
      </c>
      <c r="AU638" s="998">
        <f>SUM(AQ638,AR638,AS638,AT638)</f>
        <v>-33</v>
      </c>
      <c r="AV638" s="900">
        <v>-10</v>
      </c>
      <c r="AW638" s="900">
        <v>-9</v>
      </c>
      <c r="AX638" s="900">
        <v>-15</v>
      </c>
      <c r="AY638" s="900">
        <v>-19</v>
      </c>
      <c r="AZ638" s="998">
        <f>SUM(AV638,AW638,AX638,AY638)</f>
        <v>-53</v>
      </c>
      <c r="BA638" s="900">
        <v>-1</v>
      </c>
      <c r="BB638" s="900">
        <v>-23</v>
      </c>
      <c r="BC638" s="900">
        <v>1</v>
      </c>
      <c r="BD638" s="900">
        <v>-2</v>
      </c>
      <c r="BE638" s="998">
        <f>SUM(BA638,BB638,BC638,BD638)</f>
        <v>-25</v>
      </c>
      <c r="BF638" s="900">
        <v>-20</v>
      </c>
      <c r="BG638" s="900">
        <v>16</v>
      </c>
      <c r="BH638" s="901">
        <v>-26</v>
      </c>
      <c r="BI638" s="115"/>
      <c r="BJ638" s="995"/>
      <c r="BK638" s="115"/>
      <c r="BL638" s="115"/>
      <c r="BM638" s="115"/>
      <c r="BN638" s="115"/>
      <c r="BO638" s="995"/>
      <c r="BP638" s="995"/>
      <c r="BQ638" s="995"/>
      <c r="BR638" s="995"/>
      <c r="BS638" s="305"/>
    </row>
    <row r="639" spans="1:71" s="51" customFormat="1" ht="15" hidden="1" outlineLevel="1">
      <c r="A639" s="109" t="s">
        <v>663</v>
      </c>
      <c r="B639" s="483"/>
      <c r="C639" s="999">
        <f t="shared" si="2006" ref="C639:AP639">C637-C638</f>
        <v>854</v>
      </c>
      <c r="D639" s="999">
        <f t="shared" si="2006"/>
        <v>928</v>
      </c>
      <c r="E639" s="999">
        <f t="shared" si="2006"/>
        <v>787</v>
      </c>
      <c r="F639" s="999">
        <f t="shared" si="2006"/>
        <v>2306</v>
      </c>
      <c r="G639" s="999">
        <f t="shared" si="2006"/>
        <v>2280</v>
      </c>
      <c r="H639" s="57">
        <f t="shared" si="2006"/>
        <v>600</v>
      </c>
      <c r="I639" s="57">
        <f t="shared" si="2006"/>
        <v>645</v>
      </c>
      <c r="J639" s="57">
        <f t="shared" si="2006"/>
        <v>781</v>
      </c>
      <c r="K639" s="57">
        <f t="shared" si="2006"/>
        <v>824</v>
      </c>
      <c r="L639" s="999">
        <f t="shared" si="2006"/>
        <v>2850</v>
      </c>
      <c r="M639" s="57">
        <f t="shared" si="2006"/>
        <v>677</v>
      </c>
      <c r="N639" s="57">
        <f t="shared" si="2006"/>
        <v>355</v>
      </c>
      <c r="O639" s="57">
        <f t="shared" si="2006"/>
        <v>650</v>
      </c>
      <c r="P639" s="57">
        <f t="shared" si="2006"/>
        <v>489</v>
      </c>
      <c r="Q639" s="999">
        <f t="shared" si="2006"/>
        <v>2171</v>
      </c>
      <c r="R639" s="57">
        <f t="shared" si="2006"/>
        <v>246</v>
      </c>
      <c r="S639" s="57">
        <f t="shared" si="2006"/>
        <v>271</v>
      </c>
      <c r="T639" s="57">
        <f t="shared" si="2006"/>
        <v>520</v>
      </c>
      <c r="U639" s="57">
        <f t="shared" si="2006"/>
        <v>840</v>
      </c>
      <c r="V639" s="999">
        <f t="shared" si="2006"/>
        <v>1877</v>
      </c>
      <c r="W639" s="57">
        <f t="shared" si="2006"/>
        <v>695</v>
      </c>
      <c r="X639" s="57">
        <f t="shared" si="2006"/>
        <v>579</v>
      </c>
      <c r="Y639" s="57">
        <f t="shared" si="2006"/>
        <v>666</v>
      </c>
      <c r="Z639" s="57">
        <f t="shared" si="2006"/>
        <v>1249</v>
      </c>
      <c r="AA639" s="999">
        <f t="shared" si="2006"/>
        <v>3189</v>
      </c>
      <c r="AB639" s="57">
        <f t="shared" si="2006"/>
        <v>975</v>
      </c>
      <c r="AC639" s="57">
        <f t="shared" si="2006"/>
        <v>676</v>
      </c>
      <c r="AD639" s="57">
        <f t="shared" si="2006"/>
        <v>870</v>
      </c>
      <c r="AE639" s="57">
        <f t="shared" si="2006"/>
        <v>-269</v>
      </c>
      <c r="AF639" s="999">
        <f t="shared" si="2006"/>
        <v>2252</v>
      </c>
      <c r="AG639" s="57">
        <f t="shared" si="2006"/>
        <v>1292</v>
      </c>
      <c r="AH639" s="57">
        <f t="shared" si="2006"/>
        <v>851</v>
      </c>
      <c r="AI639" s="57">
        <f t="shared" si="2006"/>
        <v>931</v>
      </c>
      <c r="AJ639" s="57">
        <f t="shared" si="2006"/>
        <v>1773</v>
      </c>
      <c r="AK639" s="999">
        <f t="shared" si="2006"/>
        <v>4847</v>
      </c>
      <c r="AL639" s="57">
        <f>AL637-AL638</f>
        <v>549</v>
      </c>
      <c r="AM639" s="57">
        <f t="shared" si="2006"/>
        <v>1250</v>
      </c>
      <c r="AN639" s="57">
        <f t="shared" si="2006"/>
        <v>1153</v>
      </c>
      <c r="AO639" s="57">
        <f t="shared" si="2006"/>
        <v>2624</v>
      </c>
      <c r="AP639" s="999">
        <f t="shared" si="2006"/>
        <v>5576</v>
      </c>
      <c r="AQ639" s="57">
        <f t="shared" si="2007" ref="AQ639:AV639">AQ637-AQ638</f>
        <v>-1381</v>
      </c>
      <c r="AR639" s="57">
        <f t="shared" si="2007"/>
        <v>1625</v>
      </c>
      <c r="AS639" s="57">
        <f t="shared" si="2007"/>
        <v>538</v>
      </c>
      <c r="AT639" s="57">
        <f t="shared" si="2007"/>
        <v>817</v>
      </c>
      <c r="AU639" s="999">
        <f t="shared" si="2007"/>
        <v>1599</v>
      </c>
      <c r="AV639" s="57">
        <f t="shared" si="2007"/>
        <v>660</v>
      </c>
      <c r="AW639" s="57">
        <f t="shared" si="2008" ref="AW639:BB639">AW637-AW638</f>
        <v>-1013</v>
      </c>
      <c r="AX639" s="57">
        <f t="shared" si="2008"/>
        <v>-659</v>
      </c>
      <c r="AY639" s="57">
        <f t="shared" si="2008"/>
        <v>-277</v>
      </c>
      <c r="AZ639" s="999">
        <f t="shared" si="2008"/>
        <v>-1289</v>
      </c>
      <c r="BA639" s="57">
        <f t="shared" si="2008"/>
        <v>-320</v>
      </c>
      <c r="BB639" s="57">
        <f t="shared" si="2008"/>
        <v>-1352</v>
      </c>
      <c r="BC639" s="57">
        <f t="shared" si="2009" ref="BC639:BH639">BC637-BC638</f>
        <v>-5</v>
      </c>
      <c r="BD639" s="57">
        <f t="shared" si="2009"/>
        <v>1489</v>
      </c>
      <c r="BE639" s="999">
        <f t="shared" si="2009"/>
        <v>-188</v>
      </c>
      <c r="BF639" s="57">
        <f t="shared" si="2009"/>
        <v>1218</v>
      </c>
      <c r="BG639" s="57">
        <f t="shared" si="2009"/>
        <v>331</v>
      </c>
      <c r="BH639" s="745">
        <f t="shared" si="2009"/>
        <v>1190</v>
      </c>
      <c r="BI639" s="128"/>
      <c r="BJ639" s="1000"/>
      <c r="BK639" s="128"/>
      <c r="BL639" s="128"/>
      <c r="BM639" s="128"/>
      <c r="BN639" s="128"/>
      <c r="BO639" s="1000"/>
      <c r="BP639" s="1000"/>
      <c r="BQ639" s="1000"/>
      <c r="BR639" s="1000"/>
      <c r="BS639" s="57"/>
    </row>
    <row r="640" spans="1:71" s="300" customFormat="1" ht="15" hidden="1" outlineLevel="1">
      <c r="A640" s="304" t="s">
        <v>55</v>
      </c>
      <c r="B640" s="166"/>
      <c r="C640" s="989"/>
      <c r="D640" s="989"/>
      <c r="E640" s="989"/>
      <c r="F640" s="989"/>
      <c r="G640" s="988">
        <v>17</v>
      </c>
      <c r="H640" s="897">
        <v>13</v>
      </c>
      <c r="I640" s="897">
        <v>31</v>
      </c>
      <c r="J640" s="897">
        <v>31</v>
      </c>
      <c r="K640" s="92">
        <f>L640-J640-I640-H640</f>
        <v>29</v>
      </c>
      <c r="L640" s="988">
        <v>104</v>
      </c>
      <c r="M640" s="897">
        <v>29</v>
      </c>
      <c r="N640" s="897">
        <v>29</v>
      </c>
      <c r="O640" s="897">
        <v>29</v>
      </c>
      <c r="P640" s="92">
        <f>Q640-O640-N640-M640</f>
        <v>29</v>
      </c>
      <c r="Q640" s="988">
        <v>116</v>
      </c>
      <c r="R640" s="897">
        <v>29</v>
      </c>
      <c r="S640" s="897">
        <v>29</v>
      </c>
      <c r="T640" s="897">
        <v>29</v>
      </c>
      <c r="U640" s="92">
        <f>V640-SUM(R640,S640,T640)</f>
        <v>29</v>
      </c>
      <c r="V640" s="988">
        <v>116</v>
      </c>
      <c r="W640" s="897">
        <v>29</v>
      </c>
      <c r="X640" s="897">
        <v>29</v>
      </c>
      <c r="Y640" s="897">
        <v>29</v>
      </c>
      <c r="Z640" s="92">
        <f>AA640-SUM(W640,X640,Y640)</f>
        <v>29</v>
      </c>
      <c r="AA640" s="988">
        <v>116</v>
      </c>
      <c r="AB640" s="897">
        <v>29</v>
      </c>
      <c r="AC640" s="897">
        <v>39</v>
      </c>
      <c r="AD640" s="897">
        <v>37</v>
      </c>
      <c r="AE640" s="92">
        <f>AF640-SUM(AB640,AC640,AD640)</f>
        <v>43</v>
      </c>
      <c r="AF640" s="988">
        <v>148</v>
      </c>
      <c r="AG640" s="897">
        <v>31</v>
      </c>
      <c r="AH640" s="897">
        <v>30</v>
      </c>
      <c r="AI640" s="897">
        <v>42</v>
      </c>
      <c r="AJ640" s="92">
        <f>AK640-SUM(AG640,AH640,AI640)</f>
        <v>66</v>
      </c>
      <c r="AK640" s="988">
        <v>169</v>
      </c>
      <c r="AL640" s="897">
        <v>36</v>
      </c>
      <c r="AM640" s="897">
        <v>26</v>
      </c>
      <c r="AN640" s="897">
        <v>27</v>
      </c>
      <c r="AO640" s="897">
        <v>26</v>
      </c>
      <c r="AP640" s="993">
        <f>SUM(AL640,AM640,AN640,AO640)</f>
        <v>115</v>
      </c>
      <c r="AQ640" s="897">
        <v>27</v>
      </c>
      <c r="AR640" s="897">
        <v>30</v>
      </c>
      <c r="AS640" s="897">
        <v>30</v>
      </c>
      <c r="AT640" s="897">
        <v>27</v>
      </c>
      <c r="AU640" s="993">
        <f>SUM(AQ640,AR640,AS640,AT640)</f>
        <v>114</v>
      </c>
      <c r="AV640" s="897">
        <v>26</v>
      </c>
      <c r="AW640" s="897">
        <v>27</v>
      </c>
      <c r="AX640" s="897">
        <v>26</v>
      </c>
      <c r="AY640" s="897">
        <v>26</v>
      </c>
      <c r="AZ640" s="993">
        <f>SUM(AV640,AW640,AX640,AY640)</f>
        <v>105</v>
      </c>
      <c r="BA640" s="897">
        <v>26</v>
      </c>
      <c r="BB640" s="897">
        <v>37</v>
      </c>
      <c r="BC640" s="897">
        <v>36</v>
      </c>
      <c r="BD640" s="897">
        <v>29</v>
      </c>
      <c r="BE640" s="993">
        <f>SUM(BA640,BB640,BC640,BD640)</f>
        <v>128</v>
      </c>
      <c r="BF640" s="897">
        <v>29</v>
      </c>
      <c r="BG640" s="897">
        <v>30</v>
      </c>
      <c r="BH640" s="898">
        <v>29</v>
      </c>
      <c r="BI640" s="92"/>
      <c r="BJ640" s="989"/>
      <c r="BK640" s="92"/>
      <c r="BL640" s="92"/>
      <c r="BM640" s="92"/>
      <c r="BN640" s="92"/>
      <c r="BO640" s="989"/>
      <c r="BP640" s="989"/>
      <c r="BQ640" s="989"/>
      <c r="BR640" s="989"/>
      <c r="BS640" s="305"/>
    </row>
    <row r="641" spans="1:71" s="51" customFormat="1" ht="15" hidden="1" outlineLevel="1">
      <c r="A641" s="94" t="s">
        <v>56</v>
      </c>
      <c r="B641" s="507"/>
      <c r="C641" s="1045">
        <f t="shared" si="2010" ref="C641:AP641">C639-C640</f>
        <v>854</v>
      </c>
      <c r="D641" s="1045">
        <f t="shared" si="2010"/>
        <v>928</v>
      </c>
      <c r="E641" s="1045">
        <f t="shared" si="2010"/>
        <v>787</v>
      </c>
      <c r="F641" s="1045">
        <f t="shared" si="2010"/>
        <v>2306</v>
      </c>
      <c r="G641" s="1045">
        <f t="shared" si="2010"/>
        <v>2263</v>
      </c>
      <c r="H641" s="96">
        <f t="shared" si="2010"/>
        <v>587</v>
      </c>
      <c r="I641" s="96">
        <f t="shared" si="2010"/>
        <v>614</v>
      </c>
      <c r="J641" s="96">
        <f t="shared" si="2010"/>
        <v>750</v>
      </c>
      <c r="K641" s="96">
        <f t="shared" si="2010"/>
        <v>795</v>
      </c>
      <c r="L641" s="1045">
        <f t="shared" si="2010"/>
        <v>2746</v>
      </c>
      <c r="M641" s="96">
        <f t="shared" si="2010"/>
        <v>648</v>
      </c>
      <c r="N641" s="96">
        <f t="shared" si="2010"/>
        <v>326</v>
      </c>
      <c r="O641" s="96">
        <f t="shared" si="2010"/>
        <v>621</v>
      </c>
      <c r="P641" s="96">
        <f t="shared" si="2010"/>
        <v>460</v>
      </c>
      <c r="Q641" s="1045">
        <f t="shared" si="2010"/>
        <v>2055</v>
      </c>
      <c r="R641" s="96">
        <f t="shared" si="2010"/>
        <v>217</v>
      </c>
      <c r="S641" s="96">
        <f t="shared" si="2010"/>
        <v>242</v>
      </c>
      <c r="T641" s="96">
        <f t="shared" si="2010"/>
        <v>491</v>
      </c>
      <c r="U641" s="96">
        <f t="shared" si="2010"/>
        <v>811</v>
      </c>
      <c r="V641" s="1045">
        <f t="shared" si="2010"/>
        <v>1761</v>
      </c>
      <c r="W641" s="96">
        <f t="shared" si="2010"/>
        <v>666</v>
      </c>
      <c r="X641" s="96">
        <f t="shared" si="2010"/>
        <v>550</v>
      </c>
      <c r="Y641" s="96">
        <f t="shared" si="2010"/>
        <v>637</v>
      </c>
      <c r="Z641" s="96">
        <f t="shared" si="2010"/>
        <v>1220</v>
      </c>
      <c r="AA641" s="1045">
        <f t="shared" si="2010"/>
        <v>3073</v>
      </c>
      <c r="AB641" s="96">
        <f t="shared" si="2010"/>
        <v>946</v>
      </c>
      <c r="AC641" s="96">
        <f t="shared" si="2010"/>
        <v>637</v>
      </c>
      <c r="AD641" s="96">
        <f t="shared" si="2010"/>
        <v>833</v>
      </c>
      <c r="AE641" s="96">
        <f t="shared" si="2010"/>
        <v>-312</v>
      </c>
      <c r="AF641" s="1045">
        <f t="shared" si="2010"/>
        <v>2104</v>
      </c>
      <c r="AG641" s="96">
        <f t="shared" si="2010"/>
        <v>1261</v>
      </c>
      <c r="AH641" s="96">
        <f t="shared" si="2010"/>
        <v>821</v>
      </c>
      <c r="AI641" s="96">
        <f t="shared" si="2010"/>
        <v>889</v>
      </c>
      <c r="AJ641" s="96">
        <f t="shared" si="2010"/>
        <v>1707</v>
      </c>
      <c r="AK641" s="1045">
        <f t="shared" si="2010"/>
        <v>4678</v>
      </c>
      <c r="AL641" s="96">
        <f>AL639-AL640</f>
        <v>513</v>
      </c>
      <c r="AM641" s="96">
        <f>AM639-AM640</f>
        <v>1224</v>
      </c>
      <c r="AN641" s="96">
        <f t="shared" si="2010"/>
        <v>1126</v>
      </c>
      <c r="AO641" s="96">
        <f t="shared" si="2010"/>
        <v>2598</v>
      </c>
      <c r="AP641" s="1045">
        <f t="shared" si="2010"/>
        <v>5461</v>
      </c>
      <c r="AQ641" s="96">
        <f t="shared" si="2011" ref="AQ641:AV641">AQ639-AQ640</f>
        <v>-1408</v>
      </c>
      <c r="AR641" s="96">
        <f t="shared" si="2011"/>
        <v>1595</v>
      </c>
      <c r="AS641" s="96">
        <f t="shared" si="2011"/>
        <v>508</v>
      </c>
      <c r="AT641" s="96">
        <f t="shared" si="2011"/>
        <v>790</v>
      </c>
      <c r="AU641" s="1045">
        <f t="shared" si="2011"/>
        <v>1485</v>
      </c>
      <c r="AV641" s="96">
        <f t="shared" si="2011"/>
        <v>634</v>
      </c>
      <c r="AW641" s="96">
        <f t="shared" si="2012" ref="AW641:BB641">AW639-AW640</f>
        <v>-1040</v>
      </c>
      <c r="AX641" s="96">
        <f t="shared" si="2012"/>
        <v>-685</v>
      </c>
      <c r="AY641" s="96">
        <f t="shared" si="2012"/>
        <v>-303</v>
      </c>
      <c r="AZ641" s="1045">
        <f t="shared" si="2012"/>
        <v>-1394</v>
      </c>
      <c r="BA641" s="96">
        <f t="shared" si="2012"/>
        <v>-346</v>
      </c>
      <c r="BB641" s="96">
        <f t="shared" si="2012"/>
        <v>-1389</v>
      </c>
      <c r="BC641" s="96">
        <f t="shared" si="2013" ref="BC641:BH641">BC639-BC640</f>
        <v>-41</v>
      </c>
      <c r="BD641" s="96">
        <f t="shared" si="2013"/>
        <v>1460</v>
      </c>
      <c r="BE641" s="1045">
        <f t="shared" si="2013"/>
        <v>-316</v>
      </c>
      <c r="BF641" s="96">
        <f t="shared" si="2013"/>
        <v>1189</v>
      </c>
      <c r="BG641" s="96">
        <f t="shared" si="2013"/>
        <v>301</v>
      </c>
      <c r="BH641" s="803">
        <f t="shared" si="2013"/>
        <v>1161</v>
      </c>
      <c r="BI641" s="97">
        <f>BI635-BI640</f>
        <v>0</v>
      </c>
      <c r="BJ641" s="1046">
        <f t="shared" si="2014" ref="BJ641">BJ635-BJ640</f>
        <v>0</v>
      </c>
      <c r="BK641" s="97">
        <f t="shared" si="2015" ref="BK641:BR641">BK635-BK640</f>
        <v>0</v>
      </c>
      <c r="BL641" s="97">
        <f t="shared" si="2015"/>
        <v>0</v>
      </c>
      <c r="BM641" s="97">
        <f t="shared" si="2015"/>
        <v>0</v>
      </c>
      <c r="BN641" s="97">
        <f t="shared" si="2015"/>
        <v>0</v>
      </c>
      <c r="BO641" s="1046">
        <f t="shared" si="2015"/>
        <v>0</v>
      </c>
      <c r="BP641" s="1046">
        <f t="shared" si="2015"/>
        <v>0</v>
      </c>
      <c r="BQ641" s="1046">
        <f t="shared" si="2015"/>
        <v>0</v>
      </c>
      <c r="BR641" s="1046">
        <f t="shared" si="2015"/>
        <v>0</v>
      </c>
      <c r="BS641" s="57"/>
    </row>
    <row r="642" spans="1:71" s="22" customFormat="1" ht="15" hidden="1" outlineLevel="1">
      <c r="A642" s="491"/>
      <c r="B642" s="508"/>
      <c r="C642" s="1010"/>
      <c r="D642" s="1010"/>
      <c r="E642" s="1010"/>
      <c r="F642" s="1010"/>
      <c r="G642" s="1010"/>
      <c r="H642" s="840"/>
      <c r="I642" s="840"/>
      <c r="J642" s="840"/>
      <c r="K642" s="840"/>
      <c r="L642" s="1010"/>
      <c r="M642" s="840"/>
      <c r="N642" s="840"/>
      <c r="O642" s="840"/>
      <c r="P642" s="840"/>
      <c r="Q642" s="1010"/>
      <c r="R642" s="840"/>
      <c r="S642" s="840"/>
      <c r="T642" s="840"/>
      <c r="U642" s="840"/>
      <c r="V642" s="1010"/>
      <c r="W642" s="840"/>
      <c r="X642" s="840"/>
      <c r="Y642" s="840"/>
      <c r="Z642" s="840"/>
      <c r="AA642" s="1010"/>
      <c r="AB642" s="840"/>
      <c r="AC642" s="840"/>
      <c r="AD642" s="840"/>
      <c r="AE642" s="840"/>
      <c r="AF642" s="1010"/>
      <c r="AG642" s="840"/>
      <c r="AH642" s="840"/>
      <c r="AI642" s="840"/>
      <c r="AJ642" s="840"/>
      <c r="AK642" s="1010"/>
      <c r="AL642" s="840"/>
      <c r="AM642" s="840"/>
      <c r="AN642" s="840"/>
      <c r="AO642" s="840"/>
      <c r="AP642" s="1010"/>
      <c r="AQ642" s="840"/>
      <c r="AR642" s="840"/>
      <c r="AS642" s="840"/>
      <c r="AT642" s="840"/>
      <c r="AU642" s="1010"/>
      <c r="AV642" s="840"/>
      <c r="AW642" s="840"/>
      <c r="AX642" s="840"/>
      <c r="AY642" s="840"/>
      <c r="AZ642" s="1010"/>
      <c r="BA642" s="840"/>
      <c r="BB642" s="840"/>
      <c r="BC642" s="840"/>
      <c r="BD642" s="840"/>
      <c r="BE642" s="1010"/>
      <c r="BF642" s="840"/>
      <c r="BG642" s="840"/>
      <c r="BH642" s="841"/>
      <c r="BI642" s="840"/>
      <c r="BJ642" s="1010"/>
      <c r="BK642" s="840"/>
      <c r="BL642" s="840"/>
      <c r="BM642" s="840"/>
      <c r="BN642" s="840"/>
      <c r="BO642" s="1010"/>
      <c r="BP642" s="1010"/>
      <c r="BQ642" s="1010"/>
      <c r="BR642" s="1010"/>
      <c r="BS642" s="822"/>
    </row>
    <row r="643" spans="1:71" s="300" customFormat="1" ht="15" hidden="1" outlineLevel="1">
      <c r="A643" s="99" t="s">
        <v>57</v>
      </c>
      <c r="B643" s="99"/>
      <c r="C643" s="103">
        <f t="shared" si="2016" ref="C643:AH643">IF(ISBLANK(INDEX(MO_IS_FirstRow,0,COLUMN())),0,ROUND(C637-C869,6))</f>
        <v>0</v>
      </c>
      <c r="D643" s="103">
        <f t="shared" si="2016"/>
        <v>0</v>
      </c>
      <c r="E643" s="103">
        <f t="shared" si="2016"/>
        <v>0</v>
      </c>
      <c r="F643" s="103">
        <f t="shared" si="2016"/>
        <v>0</v>
      </c>
      <c r="G643" s="103">
        <f t="shared" si="2016"/>
        <v>0</v>
      </c>
      <c r="H643" s="103">
        <f t="shared" si="2016"/>
        <v>0</v>
      </c>
      <c r="I643" s="103">
        <f t="shared" si="2016"/>
        <v>0</v>
      </c>
      <c r="J643" s="103">
        <f t="shared" si="2016"/>
        <v>0</v>
      </c>
      <c r="K643" s="103">
        <f t="shared" si="2016"/>
        <v>0</v>
      </c>
      <c r="L643" s="103">
        <f t="shared" si="2016"/>
        <v>0</v>
      </c>
      <c r="M643" s="103">
        <f t="shared" si="2016"/>
        <v>0</v>
      </c>
      <c r="N643" s="103">
        <f t="shared" si="2016"/>
        <v>0</v>
      </c>
      <c r="O643" s="103">
        <f t="shared" si="2016"/>
        <v>0</v>
      </c>
      <c r="P643" s="103">
        <f t="shared" si="2016"/>
        <v>0</v>
      </c>
      <c r="Q643" s="103">
        <f t="shared" si="2016"/>
        <v>0</v>
      </c>
      <c r="R643" s="103">
        <f t="shared" si="2016"/>
        <v>0</v>
      </c>
      <c r="S643" s="103">
        <f t="shared" si="2016"/>
        <v>0</v>
      </c>
      <c r="T643" s="103">
        <f t="shared" si="2016"/>
        <v>0</v>
      </c>
      <c r="U643" s="103">
        <f t="shared" si="2016"/>
        <v>0</v>
      </c>
      <c r="V643" s="103">
        <f t="shared" si="2016"/>
        <v>0</v>
      </c>
      <c r="W643" s="103">
        <f t="shared" si="2016"/>
        <v>0</v>
      </c>
      <c r="X643" s="103">
        <f t="shared" si="2016"/>
        <v>0</v>
      </c>
      <c r="Y643" s="103">
        <f t="shared" si="2016"/>
        <v>0</v>
      </c>
      <c r="Z643" s="103">
        <f t="shared" si="2016"/>
        <v>0</v>
      </c>
      <c r="AA643" s="103">
        <f t="shared" si="2016"/>
        <v>0</v>
      </c>
      <c r="AB643" s="103">
        <f t="shared" si="2016"/>
        <v>0</v>
      </c>
      <c r="AC643" s="103">
        <f t="shared" si="2016"/>
        <v>0</v>
      </c>
      <c r="AD643" s="103">
        <f t="shared" si="2016"/>
        <v>0</v>
      </c>
      <c r="AE643" s="103">
        <f t="shared" si="2016"/>
        <v>0</v>
      </c>
      <c r="AF643" s="103">
        <f t="shared" si="2016"/>
        <v>0</v>
      </c>
      <c r="AG643" s="103">
        <f t="shared" si="2016"/>
        <v>0</v>
      </c>
      <c r="AH643" s="103">
        <f t="shared" si="2016"/>
        <v>0</v>
      </c>
      <c r="AI643" s="103">
        <f t="shared" si="2017" ref="AI643:AX643">IF(ISBLANK(INDEX(MO_IS_FirstRow,0,COLUMN())),0,ROUND(AI637-AI869,6))</f>
        <v>0</v>
      </c>
      <c r="AJ643" s="103">
        <f t="shared" si="2017"/>
        <v>0</v>
      </c>
      <c r="AK643" s="103">
        <f t="shared" si="2017"/>
        <v>0</v>
      </c>
      <c r="AL643" s="103">
        <f t="shared" si="2017"/>
        <v>0</v>
      </c>
      <c r="AM643" s="103">
        <f t="shared" si="2017"/>
        <v>0</v>
      </c>
      <c r="AN643" s="103">
        <f t="shared" si="2017"/>
        <v>0</v>
      </c>
      <c r="AO643" s="103">
        <f t="shared" si="2017"/>
        <v>0</v>
      </c>
      <c r="AP643" s="103">
        <f t="shared" si="2017"/>
        <v>0</v>
      </c>
      <c r="AQ643" s="103">
        <f t="shared" si="2017"/>
        <v>0</v>
      </c>
      <c r="AR643" s="103">
        <f t="shared" si="2017"/>
        <v>0</v>
      </c>
      <c r="AS643" s="103">
        <f t="shared" si="2017"/>
        <v>0</v>
      </c>
      <c r="AT643" s="103">
        <f t="shared" si="2017"/>
        <v>0</v>
      </c>
      <c r="AU643" s="103">
        <f t="shared" si="2017"/>
        <v>0</v>
      </c>
      <c r="AV643" s="103">
        <f t="shared" si="2017"/>
        <v>0</v>
      </c>
      <c r="AW643" s="103">
        <f t="shared" si="2017"/>
        <v>0</v>
      </c>
      <c r="AX643" s="103">
        <f t="shared" si="2017"/>
        <v>0</v>
      </c>
      <c r="AY643" s="103">
        <f t="shared" si="2018" ref="AY643:AZ643">IF(ISBLANK(INDEX(MO_IS_FirstRow,0,COLUMN())),0,ROUND(AY637-AY869,6))</f>
        <v>0</v>
      </c>
      <c r="AZ643" s="103">
        <f t="shared" si="2018"/>
        <v>0</v>
      </c>
      <c r="BA643" s="103">
        <f t="shared" si="2019" ref="BA643:BR643">IF(ISBLANK(INDEX(MO_IS_FirstRow,0,COLUMN())),0,ROUND(BA637-BA869,6))</f>
        <v>0</v>
      </c>
      <c r="BB643" s="103">
        <f t="shared" si="2019"/>
        <v>0</v>
      </c>
      <c r="BC643" s="103">
        <f t="shared" si="2019"/>
        <v>0</v>
      </c>
      <c r="BD643" s="103">
        <f t="shared" si="2019"/>
        <v>0</v>
      </c>
      <c r="BE643" s="103">
        <f t="shared" si="2019"/>
        <v>0</v>
      </c>
      <c r="BF643" s="103">
        <f>IF(ISBLANK(INDEX(MO_IS_FirstRow,0,COLUMN())),0,ROUND(BF637-BF869,6))</f>
        <v>0</v>
      </c>
      <c r="BG643" s="103">
        <f>IF(ISBLANK(INDEX(MO_IS_FirstRow,0,COLUMN())),0,ROUND(BG637-BG869,6))</f>
        <v>0</v>
      </c>
      <c r="BH643" s="450">
        <f>IF(ISBLANK(INDEX(MO_IS_FirstRow,0,COLUMN())),0,ROUND(BH637-BH869,6))</f>
        <v>0</v>
      </c>
      <c r="BI643" s="103">
        <f t="shared" si="2019"/>
        <v>0</v>
      </c>
      <c r="BJ643" s="103">
        <f t="shared" si="2019"/>
        <v>0</v>
      </c>
      <c r="BK643" s="103">
        <f t="shared" si="2019"/>
        <v>0</v>
      </c>
      <c r="BL643" s="103">
        <f t="shared" si="2019"/>
        <v>0</v>
      </c>
      <c r="BM643" s="103">
        <f t="shared" si="2019"/>
        <v>0</v>
      </c>
      <c r="BN643" s="103">
        <f t="shared" si="2019"/>
        <v>0</v>
      </c>
      <c r="BO643" s="103">
        <f t="shared" si="2019"/>
        <v>0</v>
      </c>
      <c r="BP643" s="103">
        <f t="shared" si="2019"/>
        <v>0</v>
      </c>
      <c r="BQ643" s="103">
        <f t="shared" si="2019"/>
        <v>0</v>
      </c>
      <c r="BR643" s="103">
        <f t="shared" si="2019"/>
        <v>0</v>
      </c>
      <c r="BS643" s="305"/>
    </row>
    <row r="644" spans="1:71" s="22" customFormat="1" ht="15" collapsed="1">
      <c r="A644" s="491"/>
      <c r="B644" s="508"/>
      <c r="C644" s="1010"/>
      <c r="D644" s="1010"/>
      <c r="E644" s="1010"/>
      <c r="F644" s="1010"/>
      <c r="G644" s="1010"/>
      <c r="H644" s="840"/>
      <c r="I644" s="840"/>
      <c r="J644" s="840"/>
      <c r="K644" s="840"/>
      <c r="L644" s="1010"/>
      <c r="M644" s="840"/>
      <c r="N644" s="840"/>
      <c r="O644" s="840"/>
      <c r="P644" s="840"/>
      <c r="Q644" s="1010"/>
      <c r="R644" s="840"/>
      <c r="S644" s="840"/>
      <c r="T644" s="840"/>
      <c r="U644" s="840"/>
      <c r="V644" s="1010"/>
      <c r="W644" s="840"/>
      <c r="X644" s="840"/>
      <c r="Y644" s="840"/>
      <c r="Z644" s="840"/>
      <c r="AA644" s="1010"/>
      <c r="AB644" s="840"/>
      <c r="AC644" s="840"/>
      <c r="AD644" s="840"/>
      <c r="AE644" s="840"/>
      <c r="AF644" s="1010"/>
      <c r="AG644" s="840"/>
      <c r="AH644" s="840"/>
      <c r="AI644" s="840"/>
      <c r="AJ644" s="840"/>
      <c r="AK644" s="1010"/>
      <c r="AL644" s="840"/>
      <c r="AM644" s="840"/>
      <c r="AN644" s="840"/>
      <c r="AO644" s="840"/>
      <c r="AP644" s="1010"/>
      <c r="AQ644" s="840"/>
      <c r="AR644" s="840"/>
      <c r="AS644" s="840"/>
      <c r="AT644" s="840"/>
      <c r="AU644" s="1010"/>
      <c r="AV644" s="840"/>
      <c r="AW644" s="840"/>
      <c r="AX644" s="840"/>
      <c r="AY644" s="840"/>
      <c r="AZ644" s="1010"/>
      <c r="BA644" s="840"/>
      <c r="BB644" s="840"/>
      <c r="BC644" s="840"/>
      <c r="BD644" s="840"/>
      <c r="BE644" s="1010"/>
      <c r="BF644" s="840"/>
      <c r="BG644" s="840"/>
      <c r="BH644" s="841"/>
      <c r="BI644" s="840"/>
      <c r="BJ644" s="1010"/>
      <c r="BK644" s="840"/>
      <c r="BL644" s="840"/>
      <c r="BM644" s="840"/>
      <c r="BN644" s="840"/>
      <c r="BO644" s="1010"/>
      <c r="BP644" s="1010"/>
      <c r="BQ644" s="1010"/>
      <c r="BR644" s="1010"/>
      <c r="BS644" s="822"/>
    </row>
    <row r="645" spans="1:71" s="17" customFormat="1" ht="15">
      <c r="A645" s="818" t="s">
        <v>58</v>
      </c>
      <c r="B645" s="818"/>
      <c r="C645" s="837"/>
      <c r="D645" s="837"/>
      <c r="E645" s="837"/>
      <c r="F645" s="837"/>
      <c r="G645" s="837"/>
      <c r="H645" s="837"/>
      <c r="I645" s="837"/>
      <c r="J645" s="837"/>
      <c r="K645" s="837"/>
      <c r="L645" s="837"/>
      <c r="M645" s="837"/>
      <c r="N645" s="837"/>
      <c r="O645" s="837"/>
      <c r="P645" s="837"/>
      <c r="Q645" s="837"/>
      <c r="R645" s="837"/>
      <c r="S645" s="837"/>
      <c r="T645" s="837"/>
      <c r="U645" s="837"/>
      <c r="V645" s="837"/>
      <c r="W645" s="837"/>
      <c r="X645" s="837"/>
      <c r="Y645" s="837"/>
      <c r="Z645" s="837"/>
      <c r="AA645" s="837"/>
      <c r="AB645" s="837"/>
      <c r="AC645" s="837"/>
      <c r="AD645" s="837"/>
      <c r="AE645" s="837"/>
      <c r="AF645" s="837"/>
      <c r="AG645" s="837"/>
      <c r="AH645" s="837"/>
      <c r="AI645" s="837"/>
      <c r="AJ645" s="837"/>
      <c r="AK645" s="837"/>
      <c r="AL645" s="837" t="s">
        <v>671</v>
      </c>
      <c r="AM645" s="837" t="s">
        <v>671</v>
      </c>
      <c r="AN645" s="837" t="s">
        <v>671</v>
      </c>
      <c r="AO645" s="837" t="s">
        <v>671</v>
      </c>
      <c r="AP645" s="837" t="s">
        <v>671</v>
      </c>
      <c r="AQ645" s="837"/>
      <c r="AR645" s="837"/>
      <c r="AS645" s="837"/>
      <c r="AT645" s="837"/>
      <c r="AU645" s="837"/>
      <c r="AV645" s="837"/>
      <c r="AW645" s="837"/>
      <c r="AX645" s="837"/>
      <c r="AY645" s="837"/>
      <c r="AZ645" s="837"/>
      <c r="BA645" s="837"/>
      <c r="BB645" s="837"/>
      <c r="BC645" s="837"/>
      <c r="BD645" s="837"/>
      <c r="BE645" s="837"/>
      <c r="BF645" s="837"/>
      <c r="BG645" s="837"/>
      <c r="BH645" s="838"/>
      <c r="BI645" s="837"/>
      <c r="BJ645" s="837"/>
      <c r="BK645" s="837"/>
      <c r="BL645" s="837"/>
      <c r="BM645" s="837"/>
      <c r="BN645" s="837"/>
      <c r="BO645" s="837"/>
      <c r="BP645" s="837"/>
      <c r="BQ645" s="837"/>
      <c r="BR645" s="837"/>
      <c r="BS645" s="457"/>
    </row>
    <row r="646" spans="1:71" s="51" customFormat="1" ht="15" hidden="1" outlineLevel="1">
      <c r="A646" s="109" t="s">
        <v>59</v>
      </c>
      <c r="B646" s="483"/>
      <c r="C646" s="1031">
        <v>412</v>
      </c>
      <c r="D646" s="1031">
        <v>56</v>
      </c>
      <c r="E646" s="1031">
        <v>158</v>
      </c>
      <c r="F646" s="1031">
        <v>705</v>
      </c>
      <c r="G646" s="1031">
        <v>247</v>
      </c>
      <c r="H646" s="128"/>
      <c r="I646" s="128"/>
      <c r="J646" s="128"/>
      <c r="K646" s="128"/>
      <c r="L646" s="1031">
        <v>263</v>
      </c>
      <c r="M646" s="128"/>
      <c r="N646" s="128"/>
      <c r="O646" s="128"/>
      <c r="P646" s="128"/>
      <c r="Q646" s="1031">
        <v>78</v>
      </c>
      <c r="R646" s="128"/>
      <c r="S646" s="128"/>
      <c r="T646" s="128"/>
      <c r="U646" s="128"/>
      <c r="V646" s="1031">
        <v>223</v>
      </c>
      <c r="W646" s="128"/>
      <c r="X646" s="128"/>
      <c r="Y646" s="128"/>
      <c r="Z646" s="128"/>
      <c r="AA646" s="1031">
        <v>-216</v>
      </c>
      <c r="AB646" s="128"/>
      <c r="AC646" s="128"/>
      <c r="AD646" s="128"/>
      <c r="AE646" s="128"/>
      <c r="AF646" s="1031">
        <v>-236</v>
      </c>
      <c r="AG646" s="128"/>
      <c r="AH646" s="128"/>
      <c r="AI646" s="128"/>
      <c r="AJ646" s="128"/>
      <c r="AK646" s="1031">
        <v>251</v>
      </c>
      <c r="AL646" s="128"/>
      <c r="AM646" s="128"/>
      <c r="AN646" s="128"/>
      <c r="AO646" s="128"/>
      <c r="AP646" s="1031">
        <v>-116</v>
      </c>
      <c r="AQ646" s="128"/>
      <c r="AR646" s="128"/>
      <c r="AS646" s="128"/>
      <c r="AT646" s="128"/>
      <c r="AU646" s="1031">
        <v>448</v>
      </c>
      <c r="AV646" s="128"/>
      <c r="AW646" s="128"/>
      <c r="AX646" s="128"/>
      <c r="AY646" s="128"/>
      <c r="AZ646" s="1031">
        <v>-458</v>
      </c>
      <c r="BA646" s="128"/>
      <c r="BB646" s="128"/>
      <c r="BC646" s="128"/>
      <c r="BD646" s="128"/>
      <c r="BE646" s="1031">
        <v>-249</v>
      </c>
      <c r="BF646" s="128"/>
      <c r="BG646" s="128"/>
      <c r="BH646" s="465"/>
      <c r="BI646" s="128"/>
      <c r="BJ646" s="1000"/>
      <c r="BK646" s="128"/>
      <c r="BL646" s="128"/>
      <c r="BM646" s="128"/>
      <c r="BN646" s="128"/>
      <c r="BO646" s="1000"/>
      <c r="BP646" s="1000"/>
      <c r="BQ646" s="1000"/>
      <c r="BR646" s="1000"/>
      <c r="BS646" s="57"/>
    </row>
    <row r="647" spans="1:71" s="51" customFormat="1" ht="15" hidden="1" outlineLevel="1">
      <c r="A647" s="480"/>
      <c r="B647" s="483"/>
      <c r="C647" s="1000"/>
      <c r="D647" s="1000"/>
      <c r="E647" s="1000"/>
      <c r="F647" s="1000"/>
      <c r="G647" s="1000"/>
      <c r="H647" s="128"/>
      <c r="I647" s="128"/>
      <c r="J647" s="128"/>
      <c r="K647" s="128"/>
      <c r="L647" s="1000"/>
      <c r="M647" s="128"/>
      <c r="N647" s="128"/>
      <c r="O647" s="128"/>
      <c r="P647" s="128"/>
      <c r="Q647" s="1000"/>
      <c r="R647" s="128"/>
      <c r="S647" s="128"/>
      <c r="T647" s="128"/>
      <c r="U647" s="128"/>
      <c r="V647" s="1000"/>
      <c r="W647" s="128"/>
      <c r="X647" s="128"/>
      <c r="Y647" s="128"/>
      <c r="Z647" s="128"/>
      <c r="AA647" s="1000"/>
      <c r="AB647" s="128"/>
      <c r="AC647" s="128"/>
      <c r="AD647" s="128"/>
      <c r="AE647" s="128"/>
      <c r="AF647" s="1000"/>
      <c r="AG647" s="128"/>
      <c r="AH647" s="128"/>
      <c r="AI647" s="128"/>
      <c r="AJ647" s="128"/>
      <c r="AK647" s="1000"/>
      <c r="AL647" s="128"/>
      <c r="AM647" s="128"/>
      <c r="AN647" s="128"/>
      <c r="AO647" s="128"/>
      <c r="AP647" s="1000"/>
      <c r="AQ647" s="128"/>
      <c r="AR647" s="128"/>
      <c r="AS647" s="128"/>
      <c r="AT647" s="128"/>
      <c r="AU647" s="1000"/>
      <c r="AV647" s="128"/>
      <c r="AW647" s="128"/>
      <c r="AX647" s="128"/>
      <c r="AY647" s="128"/>
      <c r="AZ647" s="1000"/>
      <c r="BA647" s="128"/>
      <c r="BB647" s="128"/>
      <c r="BC647" s="128"/>
      <c r="BD647" s="128"/>
      <c r="BE647" s="1000"/>
      <c r="BF647" s="128"/>
      <c r="BG647" s="128"/>
      <c r="BH647" s="465"/>
      <c r="BI647" s="128"/>
      <c r="BJ647" s="1000"/>
      <c r="BK647" s="128"/>
      <c r="BL647" s="128"/>
      <c r="BM647" s="128"/>
      <c r="BN647" s="128"/>
      <c r="BO647" s="1000"/>
      <c r="BP647" s="1000"/>
      <c r="BQ647" s="1000"/>
      <c r="BR647" s="1000"/>
      <c r="BS647" s="57"/>
    </row>
    <row r="648" spans="1:71" s="51" customFormat="1" ht="15" hidden="1" outlineLevel="1">
      <c r="A648" s="109" t="s">
        <v>56</v>
      </c>
      <c r="B648" s="483"/>
      <c r="C648" s="999">
        <f t="shared" si="2020" ref="C648:AK648">C641</f>
        <v>854</v>
      </c>
      <c r="D648" s="999">
        <f t="shared" si="2020"/>
        <v>928</v>
      </c>
      <c r="E648" s="999">
        <f t="shared" si="2020"/>
        <v>787</v>
      </c>
      <c r="F648" s="999">
        <f t="shared" si="2020"/>
        <v>2306</v>
      </c>
      <c r="G648" s="999">
        <f t="shared" si="2020"/>
        <v>2263</v>
      </c>
      <c r="H648" s="57">
        <f t="shared" si="2020"/>
        <v>587</v>
      </c>
      <c r="I648" s="57">
        <f t="shared" si="2020"/>
        <v>614</v>
      </c>
      <c r="J648" s="57">
        <f t="shared" si="2020"/>
        <v>750</v>
      </c>
      <c r="K648" s="57">
        <f t="shared" si="2020"/>
        <v>795</v>
      </c>
      <c r="L648" s="999">
        <f t="shared" si="2020"/>
        <v>2746</v>
      </c>
      <c r="M648" s="57">
        <f t="shared" si="2020"/>
        <v>648</v>
      </c>
      <c r="N648" s="57">
        <f t="shared" si="2020"/>
        <v>326</v>
      </c>
      <c r="O648" s="57">
        <f t="shared" si="2020"/>
        <v>621</v>
      </c>
      <c r="P648" s="57">
        <f t="shared" si="2020"/>
        <v>460</v>
      </c>
      <c r="Q648" s="999">
        <f t="shared" si="2020"/>
        <v>2055</v>
      </c>
      <c r="R648" s="57">
        <f t="shared" si="2020"/>
        <v>217</v>
      </c>
      <c r="S648" s="57">
        <f t="shared" si="2020"/>
        <v>242</v>
      </c>
      <c r="T648" s="57">
        <f t="shared" si="2020"/>
        <v>491</v>
      </c>
      <c r="U648" s="57">
        <f t="shared" si="2020"/>
        <v>811</v>
      </c>
      <c r="V648" s="999">
        <f t="shared" si="2020"/>
        <v>1761</v>
      </c>
      <c r="W648" s="57">
        <f t="shared" si="2020"/>
        <v>666</v>
      </c>
      <c r="X648" s="57">
        <f t="shared" si="2020"/>
        <v>550</v>
      </c>
      <c r="Y648" s="57">
        <f t="shared" si="2020"/>
        <v>637</v>
      </c>
      <c r="Z648" s="57">
        <f t="shared" si="2020"/>
        <v>1220</v>
      </c>
      <c r="AA648" s="999">
        <f t="shared" si="2020"/>
        <v>3073</v>
      </c>
      <c r="AB648" s="57">
        <f t="shared" si="2020"/>
        <v>946</v>
      </c>
      <c r="AC648" s="57">
        <f t="shared" si="2020"/>
        <v>637</v>
      </c>
      <c r="AD648" s="57">
        <f t="shared" si="2020"/>
        <v>833</v>
      </c>
      <c r="AE648" s="57">
        <f t="shared" si="2020"/>
        <v>-312</v>
      </c>
      <c r="AF648" s="999">
        <f t="shared" si="2020"/>
        <v>2104</v>
      </c>
      <c r="AG648" s="57">
        <f t="shared" si="2020"/>
        <v>1261</v>
      </c>
      <c r="AH648" s="57">
        <f t="shared" si="2020"/>
        <v>821</v>
      </c>
      <c r="AI648" s="57">
        <f t="shared" si="2020"/>
        <v>889</v>
      </c>
      <c r="AJ648" s="57">
        <f t="shared" si="2020"/>
        <v>1707</v>
      </c>
      <c r="AK648" s="999">
        <f t="shared" si="2020"/>
        <v>4678</v>
      </c>
      <c r="AL648" s="57">
        <f>AL641</f>
        <v>513</v>
      </c>
      <c r="AM648" s="57">
        <f>AM641</f>
        <v>1224</v>
      </c>
      <c r="AN648" s="57">
        <f>AN641</f>
        <v>1126</v>
      </c>
      <c r="AO648" s="57">
        <f t="shared" si="2021" ref="AO648:AP648">AO641</f>
        <v>2598</v>
      </c>
      <c r="AP648" s="999">
        <f t="shared" si="2021"/>
        <v>5461</v>
      </c>
      <c r="AQ648" s="57">
        <f t="shared" si="2022" ref="AQ648:AV648">AQ641</f>
        <v>-1408</v>
      </c>
      <c r="AR648" s="57">
        <f t="shared" si="2022"/>
        <v>1595</v>
      </c>
      <c r="AS648" s="57">
        <f t="shared" si="2022"/>
        <v>508</v>
      </c>
      <c r="AT648" s="57">
        <f t="shared" si="2022"/>
        <v>790</v>
      </c>
      <c r="AU648" s="999">
        <f t="shared" si="2022"/>
        <v>1485</v>
      </c>
      <c r="AV648" s="57">
        <f t="shared" si="2022"/>
        <v>634</v>
      </c>
      <c r="AW648" s="57">
        <f t="shared" si="2023" ref="AW648:BB648">AW641</f>
        <v>-1040</v>
      </c>
      <c r="AX648" s="57">
        <f t="shared" si="2023"/>
        <v>-685</v>
      </c>
      <c r="AY648" s="57">
        <f t="shared" si="2023"/>
        <v>-303</v>
      </c>
      <c r="AZ648" s="999">
        <f t="shared" si="2023"/>
        <v>-1394</v>
      </c>
      <c r="BA648" s="57">
        <f t="shared" si="2023"/>
        <v>-346</v>
      </c>
      <c r="BB648" s="57">
        <f t="shared" si="2023"/>
        <v>-1389</v>
      </c>
      <c r="BC648" s="57">
        <f t="shared" si="2024" ref="BC648:BH648">BC641</f>
        <v>-41</v>
      </c>
      <c r="BD648" s="57">
        <f t="shared" si="2024"/>
        <v>1460</v>
      </c>
      <c r="BE648" s="999">
        <f t="shared" si="2024"/>
        <v>-316</v>
      </c>
      <c r="BF648" s="57">
        <f t="shared" si="2024"/>
        <v>1189</v>
      </c>
      <c r="BG648" s="57">
        <f t="shared" si="2024"/>
        <v>301</v>
      </c>
      <c r="BH648" s="745">
        <f t="shared" si="2024"/>
        <v>1161</v>
      </c>
      <c r="BI648" s="128">
        <f>BI694</f>
        <v>1337.403136004099</v>
      </c>
      <c r="BJ648" s="1000">
        <f t="shared" si="2025" ref="BJ648">BJ694</f>
        <v>3988.403136004099</v>
      </c>
      <c r="BK648" s="128">
        <f t="shared" si="2026" ref="BK648:BR648">BK694</f>
        <v>1457.2043861260277</v>
      </c>
      <c r="BL648" s="128">
        <f t="shared" si="2026"/>
        <v>867.28568412054733</v>
      </c>
      <c r="BM648" s="128">
        <f t="shared" si="2026"/>
        <v>1218.7151435068504</v>
      </c>
      <c r="BN648" s="128">
        <f t="shared" si="2026"/>
        <v>1678.4029141044405</v>
      </c>
      <c r="BO648" s="1000">
        <f t="shared" si="2026"/>
        <v>5221.608127857864</v>
      </c>
      <c r="BP648" s="1000">
        <f t="shared" si="2026"/>
        <v>5589.4346056623654</v>
      </c>
      <c r="BQ648" s="1000">
        <f t="shared" si="2026"/>
        <v>5724.631458205341</v>
      </c>
      <c r="BR648" s="1000">
        <f t="shared" si="2026"/>
        <v>5880.4517650377838</v>
      </c>
      <c r="BS648" s="57"/>
    </row>
    <row r="649" spans="1:71" s="300" customFormat="1" ht="15" hidden="1" outlineLevel="1">
      <c r="A649" s="304" t="s">
        <v>339</v>
      </c>
      <c r="B649" s="166"/>
      <c r="C649" s="988">
        <v>628</v>
      </c>
      <c r="D649" s="988">
        <v>537</v>
      </c>
      <c r="E649" s="988">
        <v>-324</v>
      </c>
      <c r="F649" s="988">
        <v>-216</v>
      </c>
      <c r="G649" s="988">
        <v>-385</v>
      </c>
      <c r="H649" s="897">
        <v>-35</v>
      </c>
      <c r="I649" s="897">
        <v>-154</v>
      </c>
      <c r="J649" s="897">
        <v>-192</v>
      </c>
      <c r="K649" s="897">
        <v>-70</v>
      </c>
      <c r="L649" s="988">
        <v>-451</v>
      </c>
      <c r="M649" s="897">
        <v>-90</v>
      </c>
      <c r="N649" s="897">
        <v>-69</v>
      </c>
      <c r="O649" s="897">
        <v>-21</v>
      </c>
      <c r="P649" s="897">
        <v>161</v>
      </c>
      <c r="Q649" s="988">
        <v>-19</v>
      </c>
      <c r="R649" s="897">
        <v>96</v>
      </c>
      <c r="S649" s="897">
        <v>-17</v>
      </c>
      <c r="T649" s="897">
        <v>-22</v>
      </c>
      <c r="U649" s="897">
        <v>-1</v>
      </c>
      <c r="V649" s="988">
        <v>56</v>
      </c>
      <c r="W649" s="897">
        <v>-88</v>
      </c>
      <c r="X649" s="897">
        <v>-53</v>
      </c>
      <c r="Y649" s="897">
        <v>-67</v>
      </c>
      <c r="Z649" s="897">
        <v>-90</v>
      </c>
      <c r="AA649" s="988">
        <v>-298</v>
      </c>
      <c r="AB649" s="897">
        <v>106</v>
      </c>
      <c r="AC649" s="897">
        <v>19</v>
      </c>
      <c r="AD649" s="897">
        <v>-141</v>
      </c>
      <c r="AE649" s="305">
        <f t="shared" si="2027" ref="AE649:AE657">AF649-SUM(AB649,AC649,AD649)</f>
        <v>704</v>
      </c>
      <c r="AF649" s="988">
        <v>688</v>
      </c>
      <c r="AG649" s="897">
        <v>-524</v>
      </c>
      <c r="AH649" s="897">
        <v>-256</v>
      </c>
      <c r="AI649" s="897">
        <v>-155</v>
      </c>
      <c r="AJ649" s="305">
        <f t="shared" si="2028" ref="AJ649:AJ657">AK649-SUM(AG649,AH649,AI649)</f>
        <v>-553</v>
      </c>
      <c r="AK649" s="988">
        <v>-1488</v>
      </c>
      <c r="AL649" s="897">
        <v>162</v>
      </c>
      <c r="AM649" s="897">
        <v>-440</v>
      </c>
      <c r="AN649" s="897">
        <v>-319</v>
      </c>
      <c r="AO649" s="897">
        <v>-490</v>
      </c>
      <c r="AP649" s="993">
        <f t="shared" si="2029" ref="AP649:AP657">SUM(AL649,AM649,AN649,AO649)</f>
        <v>-1087</v>
      </c>
      <c r="AQ649" s="897">
        <v>-426</v>
      </c>
      <c r="AR649" s="897">
        <v>-287</v>
      </c>
      <c r="AS649" s="897">
        <v>-105</v>
      </c>
      <c r="AT649" s="897">
        <v>-266</v>
      </c>
      <c r="AU649" s="993">
        <f t="shared" si="2030" ref="AU649:AU658">SUM(AQ649,AR649,AS649,AT649)</f>
        <v>-1084</v>
      </c>
      <c r="AV649" s="897">
        <v>267</v>
      </c>
      <c r="AW649" s="897">
        <v>733</v>
      </c>
      <c r="AX649" s="897">
        <v>167</v>
      </c>
      <c r="AY649" s="897">
        <v>-95</v>
      </c>
      <c r="AZ649" s="993">
        <f t="shared" si="2031" ref="AZ649:AZ666">SUM(AV649,AW649,AX649,AY649)</f>
        <v>1072</v>
      </c>
      <c r="BA649" s="897">
        <v>-14</v>
      </c>
      <c r="BB649" s="897">
        <v>151</v>
      </c>
      <c r="BC649" s="897">
        <v>86</v>
      </c>
      <c r="BD649" s="897">
        <v>77</v>
      </c>
      <c r="BE649" s="993">
        <f t="shared" si="2032" ref="BE649:BE668">SUM(BA649,BB649,BC649,BD649)</f>
        <v>300</v>
      </c>
      <c r="BF649" s="897">
        <v>164</v>
      </c>
      <c r="BG649" s="897">
        <v>103</v>
      </c>
      <c r="BH649" s="898">
        <v>-243</v>
      </c>
      <c r="BI649" s="92">
        <f>-BI674*(1-BI701-BI702)</f>
        <v>-42.75</v>
      </c>
      <c r="BJ649" s="989">
        <f t="shared" si="2033" ref="BJ649:BJ657">SUM(BF649,BG649,BH649,BI649)</f>
        <v>-18.75</v>
      </c>
      <c r="BK649" s="92">
        <f>-BK674*(1-BK701-BK702)</f>
        <v>-45.60</v>
      </c>
      <c r="BL649" s="92">
        <f>-BL674*(1-BL701-BL702)</f>
        <v>-45.60</v>
      </c>
      <c r="BM649" s="92">
        <f>-BM674*(1-BM701-BM702)</f>
        <v>-45.60</v>
      </c>
      <c r="BN649" s="92">
        <f>-BN674*(1-BN701-BN702)</f>
        <v>-45.60</v>
      </c>
      <c r="BO649" s="989">
        <f t="shared" si="2034" ref="BO649:BO657">SUM(BK649,BL649,BM649,BN649)</f>
        <v>-182.40</v>
      </c>
      <c r="BP649" s="989">
        <f>-BP674*(1-BP701-BP702)</f>
        <v>-180.11999999999998</v>
      </c>
      <c r="BQ649" s="989">
        <f>-BQ674*(1-BQ701-BQ702)</f>
        <v>-180.11999999999998</v>
      </c>
      <c r="BR649" s="989">
        <f>-BR674*(1-BR701-BR702)</f>
        <v>-180.11999999999998</v>
      </c>
      <c r="BS649" s="305"/>
    </row>
    <row r="650" spans="1:71" s="300" customFormat="1" ht="15" hidden="1" outlineLevel="1">
      <c r="A650" s="304" t="s">
        <v>340</v>
      </c>
      <c r="B650" s="166"/>
      <c r="C650" s="989"/>
      <c r="D650" s="989"/>
      <c r="E650" s="989"/>
      <c r="F650" s="989"/>
      <c r="G650" s="989"/>
      <c r="H650" s="92"/>
      <c r="I650" s="92"/>
      <c r="J650" s="92"/>
      <c r="K650" s="92"/>
      <c r="L650" s="989"/>
      <c r="M650" s="92"/>
      <c r="N650" s="92"/>
      <c r="O650" s="92"/>
      <c r="P650" s="92"/>
      <c r="Q650" s="989"/>
      <c r="R650" s="92"/>
      <c r="S650" s="92"/>
      <c r="T650" s="92"/>
      <c r="U650" s="92"/>
      <c r="V650" s="989"/>
      <c r="W650" s="92"/>
      <c r="X650" s="92"/>
      <c r="Y650" s="92"/>
      <c r="Z650" s="92"/>
      <c r="AA650" s="989"/>
      <c r="AB650" s="92"/>
      <c r="AC650" s="92"/>
      <c r="AD650" s="92"/>
      <c r="AE650" s="305">
        <f t="shared" si="2027"/>
        <v>0</v>
      </c>
      <c r="AF650" s="989"/>
      <c r="AG650" s="897">
        <v>11</v>
      </c>
      <c r="AH650" s="897">
        <v>99</v>
      </c>
      <c r="AI650" s="897">
        <v>179</v>
      </c>
      <c r="AJ650" s="305">
        <f t="shared" si="2028"/>
        <v>-199</v>
      </c>
      <c r="AK650" s="988">
        <v>90</v>
      </c>
      <c r="AL650" s="897">
        <v>318</v>
      </c>
      <c r="AM650" s="897">
        <v>73</v>
      </c>
      <c r="AN650" s="897">
        <v>-71</v>
      </c>
      <c r="AO650" s="897">
        <v>-371</v>
      </c>
      <c r="AP650" s="993">
        <f t="shared" si="2029"/>
        <v>-51</v>
      </c>
      <c r="AQ650" s="897">
        <v>-310</v>
      </c>
      <c r="AR650" s="897">
        <v>-134</v>
      </c>
      <c r="AS650" s="897">
        <v>40</v>
      </c>
      <c r="AT650" s="897">
        <v>-240</v>
      </c>
      <c r="AU650" s="993">
        <f t="shared" si="2030"/>
        <v>-644</v>
      </c>
      <c r="AV650" s="897">
        <v>-247</v>
      </c>
      <c r="AW650" s="897">
        <v>259</v>
      </c>
      <c r="AX650" s="897">
        <v>79</v>
      </c>
      <c r="AY650" s="897">
        <v>25</v>
      </c>
      <c r="AZ650" s="993">
        <f t="shared" si="2031"/>
        <v>116</v>
      </c>
      <c r="BA650" s="897">
        <v>-53</v>
      </c>
      <c r="BB650" s="897">
        <v>-40</v>
      </c>
      <c r="BC650" s="897">
        <v>149</v>
      </c>
      <c r="BD650" s="897">
        <v>-47</v>
      </c>
      <c r="BE650" s="993">
        <f t="shared" si="2032"/>
        <v>9</v>
      </c>
      <c r="BF650" s="897">
        <v>-2</v>
      </c>
      <c r="BG650" s="897">
        <v>-9</v>
      </c>
      <c r="BH650" s="898">
        <v>26</v>
      </c>
      <c r="BI650" s="92">
        <f>BI682*(1-BI701-BI702)</f>
        <v>0</v>
      </c>
      <c r="BJ650" s="989">
        <f t="shared" si="2033"/>
        <v>15</v>
      </c>
      <c r="BK650" s="92">
        <f>BK682*(1-BK701-BK702)</f>
        <v>0</v>
      </c>
      <c r="BL650" s="92">
        <f>BL682*(1-BL701-BL702)</f>
        <v>0</v>
      </c>
      <c r="BM650" s="92">
        <f>BM682*(1-BM701-BM702)</f>
        <v>0</v>
      </c>
      <c r="BN650" s="92">
        <f>BN682*(1-BN701-BN702)</f>
        <v>0</v>
      </c>
      <c r="BO650" s="989">
        <f t="shared" si="2034"/>
        <v>0</v>
      </c>
      <c r="BP650" s="989">
        <f>BP682*(1-BP701-BP702)</f>
        <v>0</v>
      </c>
      <c r="BQ650" s="989">
        <f>BQ682*(1-BQ701-BQ702)</f>
        <v>0</v>
      </c>
      <c r="BR650" s="989">
        <f>BR682*(1-BR701-BR702)</f>
        <v>0</v>
      </c>
      <c r="BS650" s="305"/>
    </row>
    <row r="651" spans="1:71" s="300" customFormat="1" ht="15" hidden="1" outlineLevel="1">
      <c r="A651" s="304" t="s">
        <v>651</v>
      </c>
      <c r="B651" s="166"/>
      <c r="C651" s="989"/>
      <c r="D651" s="989"/>
      <c r="E651" s="989"/>
      <c r="F651" s="989"/>
      <c r="G651" s="989"/>
      <c r="H651" s="92"/>
      <c r="I651" s="92"/>
      <c r="J651" s="92"/>
      <c r="K651" s="92"/>
      <c r="L651" s="989"/>
      <c r="M651" s="92"/>
      <c r="N651" s="92"/>
      <c r="O651" s="92"/>
      <c r="P651" s="92"/>
      <c r="Q651" s="989"/>
      <c r="R651" s="92"/>
      <c r="S651" s="92"/>
      <c r="T651" s="92"/>
      <c r="U651" s="92"/>
      <c r="V651" s="989"/>
      <c r="W651" s="92"/>
      <c r="X651" s="92"/>
      <c r="Y651" s="92"/>
      <c r="Z651" s="92"/>
      <c r="AA651" s="989"/>
      <c r="AB651" s="92"/>
      <c r="AC651" s="92"/>
      <c r="AD651" s="92"/>
      <c r="AE651" s="305">
        <f t="shared" si="2027"/>
        <v>0</v>
      </c>
      <c r="AF651" s="989"/>
      <c r="AG651" s="92"/>
      <c r="AH651" s="92"/>
      <c r="AI651" s="92"/>
      <c r="AJ651" s="305">
        <f t="shared" si="2028"/>
        <v>0</v>
      </c>
      <c r="AK651" s="989"/>
      <c r="AL651" s="92"/>
      <c r="AM651" s="92"/>
      <c r="AN651" s="897">
        <v>-8</v>
      </c>
      <c r="AO651" s="897">
        <v>0</v>
      </c>
      <c r="AP651" s="993">
        <f t="shared" si="2029"/>
        <v>-8</v>
      </c>
      <c r="AQ651" s="92"/>
      <c r="AR651" s="92"/>
      <c r="AS651" s="92"/>
      <c r="AT651" s="92"/>
      <c r="AU651" s="993">
        <f t="shared" si="2030"/>
        <v>0</v>
      </c>
      <c r="AV651" s="92"/>
      <c r="AW651" s="92"/>
      <c r="AX651" s="92"/>
      <c r="AY651" s="92"/>
      <c r="AZ651" s="993">
        <f t="shared" si="2031"/>
        <v>0</v>
      </c>
      <c r="BA651" s="92"/>
      <c r="BB651" s="92"/>
      <c r="BC651" s="92"/>
      <c r="BD651" s="92"/>
      <c r="BE651" s="993">
        <f t="shared" si="2032"/>
        <v>0</v>
      </c>
      <c r="BF651" s="92"/>
      <c r="BG651" s="92"/>
      <c r="BH651" s="464"/>
      <c r="BI651" s="92"/>
      <c r="BJ651" s="989">
        <f t="shared" si="2033"/>
        <v>0</v>
      </c>
      <c r="BK651" s="92"/>
      <c r="BL651" s="92"/>
      <c r="BM651" s="92"/>
      <c r="BN651" s="92"/>
      <c r="BO651" s="989">
        <f t="shared" si="2034"/>
        <v>0</v>
      </c>
      <c r="BP651" s="989"/>
      <c r="BQ651" s="989"/>
      <c r="BR651" s="989"/>
      <c r="BS651" s="305"/>
    </row>
    <row r="652" spans="1:71" s="300" customFormat="1" ht="15" hidden="1" outlineLevel="1">
      <c r="A652" s="304" t="s">
        <v>341</v>
      </c>
      <c r="B652" s="166"/>
      <c r="C652" s="989"/>
      <c r="D652" s="989"/>
      <c r="E652" s="988">
        <v>12</v>
      </c>
      <c r="F652" s="988">
        <v>-82</v>
      </c>
      <c r="G652" s="988">
        <v>16</v>
      </c>
      <c r="H652" s="897">
        <v>11</v>
      </c>
      <c r="I652" s="897">
        <v>3</v>
      </c>
      <c r="J652" s="897">
        <v>-2</v>
      </c>
      <c r="K652" s="897">
        <v>3</v>
      </c>
      <c r="L652" s="988">
        <v>15</v>
      </c>
      <c r="M652" s="897">
        <v>5</v>
      </c>
      <c r="N652" s="897">
        <v>-4</v>
      </c>
      <c r="O652" s="897">
        <v>2</v>
      </c>
      <c r="P652" s="897">
        <v>-2</v>
      </c>
      <c r="Q652" s="988">
        <v>1</v>
      </c>
      <c r="R652" s="897">
        <v>4</v>
      </c>
      <c r="S652" s="897">
        <v>4</v>
      </c>
      <c r="T652" s="92"/>
      <c r="U652" s="897">
        <v>-6</v>
      </c>
      <c r="V652" s="988">
        <v>2</v>
      </c>
      <c r="W652" s="92"/>
      <c r="X652" s="897">
        <v>1</v>
      </c>
      <c r="Y652" s="897">
        <v>1</v>
      </c>
      <c r="Z652" s="897">
        <v>-2</v>
      </c>
      <c r="AA652" s="989"/>
      <c r="AB652" s="897">
        <v>-4</v>
      </c>
      <c r="AC652" s="92"/>
      <c r="AD652" s="897">
        <v>-1</v>
      </c>
      <c r="AE652" s="305">
        <f t="shared" si="2027"/>
        <v>2</v>
      </c>
      <c r="AF652" s="988">
        <v>-3</v>
      </c>
      <c r="AG652" s="897">
        <v>3</v>
      </c>
      <c r="AH652" s="897">
        <v>2</v>
      </c>
      <c r="AI652" s="897">
        <v>10</v>
      </c>
      <c r="AJ652" s="305">
        <f t="shared" si="2028"/>
        <v>0</v>
      </c>
      <c r="AK652" s="988">
        <v>15</v>
      </c>
      <c r="AL652" s="92"/>
      <c r="AM652" s="92"/>
      <c r="AN652" s="92"/>
      <c r="AO652" s="897">
        <v>0</v>
      </c>
      <c r="AP652" s="993">
        <f t="shared" si="2029"/>
        <v>0</v>
      </c>
      <c r="AQ652" s="92"/>
      <c r="AR652" s="92"/>
      <c r="AS652" s="92"/>
      <c r="AT652" s="92"/>
      <c r="AU652" s="993">
        <f t="shared" si="2030"/>
        <v>0</v>
      </c>
      <c r="AV652" s="92"/>
      <c r="AW652" s="92"/>
      <c r="AX652" s="92"/>
      <c r="AY652" s="92"/>
      <c r="AZ652" s="993">
        <f t="shared" si="2031"/>
        <v>0</v>
      </c>
      <c r="BA652" s="92"/>
      <c r="BB652" s="92"/>
      <c r="BC652" s="92"/>
      <c r="BD652" s="92"/>
      <c r="BE652" s="993">
        <f t="shared" si="2032"/>
        <v>0</v>
      </c>
      <c r="BF652" s="92"/>
      <c r="BG652" s="92"/>
      <c r="BH652" s="464"/>
      <c r="BI652" s="897">
        <v>0</v>
      </c>
      <c r="BJ652" s="989">
        <f t="shared" si="2033"/>
        <v>0</v>
      </c>
      <c r="BK652" s="897">
        <v>0</v>
      </c>
      <c r="BL652" s="897">
        <v>0</v>
      </c>
      <c r="BM652" s="897">
        <v>0</v>
      </c>
      <c r="BN652" s="897">
        <v>0</v>
      </c>
      <c r="BO652" s="989">
        <f t="shared" si="2034"/>
        <v>0</v>
      </c>
      <c r="BP652" s="988">
        <v>0</v>
      </c>
      <c r="BQ652" s="988">
        <v>0</v>
      </c>
      <c r="BR652" s="988">
        <v>0</v>
      </c>
      <c r="BS652" s="305"/>
    </row>
    <row r="653" spans="1:71" s="300" customFormat="1" ht="15" hidden="1" outlineLevel="1">
      <c r="A653" s="304" t="s">
        <v>353</v>
      </c>
      <c r="B653" s="166"/>
      <c r="C653" s="988">
        <v>177</v>
      </c>
      <c r="D653" s="988">
        <v>34</v>
      </c>
      <c r="E653" s="988">
        <v>108</v>
      </c>
      <c r="F653" s="988">
        <v>42</v>
      </c>
      <c r="G653" s="988">
        <v>5</v>
      </c>
      <c r="H653" s="92"/>
      <c r="I653" s="92"/>
      <c r="J653" s="897">
        <v>3</v>
      </c>
      <c r="K653" s="92"/>
      <c r="L653" s="988">
        <v>3</v>
      </c>
      <c r="M653" s="92"/>
      <c r="N653" s="897">
        <v>2</v>
      </c>
      <c r="O653" s="897">
        <v>1</v>
      </c>
      <c r="P653" s="92"/>
      <c r="Q653" s="988">
        <v>3</v>
      </c>
      <c r="R653" s="897">
        <v>1</v>
      </c>
      <c r="S653" s="897">
        <v>1</v>
      </c>
      <c r="T653" s="897">
        <v>1</v>
      </c>
      <c r="U653" s="897">
        <v>1</v>
      </c>
      <c r="V653" s="988">
        <v>4</v>
      </c>
      <c r="W653" s="897">
        <v>3</v>
      </c>
      <c r="X653" s="897">
        <v>3</v>
      </c>
      <c r="Y653" s="897">
        <v>2</v>
      </c>
      <c r="Z653" s="897">
        <v>2</v>
      </c>
      <c r="AA653" s="988">
        <v>10</v>
      </c>
      <c r="AB653" s="897">
        <v>2</v>
      </c>
      <c r="AC653" s="897">
        <v>3</v>
      </c>
      <c r="AD653" s="897">
        <v>1</v>
      </c>
      <c r="AE653" s="305">
        <f t="shared" si="2027"/>
        <v>1</v>
      </c>
      <c r="AF653" s="988">
        <v>7</v>
      </c>
      <c r="AG653" s="897">
        <v>2</v>
      </c>
      <c r="AH653" s="897">
        <v>1</v>
      </c>
      <c r="AI653" s="897">
        <v>-1</v>
      </c>
      <c r="AJ653" s="305">
        <f t="shared" si="2028"/>
        <v>3</v>
      </c>
      <c r="AK653" s="988">
        <v>5</v>
      </c>
      <c r="AL653" s="92"/>
      <c r="AM653" s="92"/>
      <c r="AN653" s="92"/>
      <c r="AO653" s="897">
        <v>0</v>
      </c>
      <c r="AP653" s="993">
        <f t="shared" si="2029"/>
        <v>0</v>
      </c>
      <c r="AQ653" s="92"/>
      <c r="AR653" s="92"/>
      <c r="AS653" s="92"/>
      <c r="AT653" s="92"/>
      <c r="AU653" s="993">
        <f t="shared" si="2030"/>
        <v>0</v>
      </c>
      <c r="AV653" s="92"/>
      <c r="AW653" s="92"/>
      <c r="AX653" s="92"/>
      <c r="AY653" s="92"/>
      <c r="AZ653" s="993">
        <f t="shared" si="2031"/>
        <v>0</v>
      </c>
      <c r="BA653" s="92"/>
      <c r="BB653" s="92"/>
      <c r="BC653" s="92"/>
      <c r="BD653" s="92"/>
      <c r="BE653" s="993">
        <f t="shared" si="2032"/>
        <v>0</v>
      </c>
      <c r="BF653" s="92"/>
      <c r="BG653" s="92"/>
      <c r="BH653" s="464"/>
      <c r="BI653" s="897">
        <v>0</v>
      </c>
      <c r="BJ653" s="989">
        <f t="shared" si="2033"/>
        <v>0</v>
      </c>
      <c r="BK653" s="897">
        <v>0</v>
      </c>
      <c r="BL653" s="897">
        <v>0</v>
      </c>
      <c r="BM653" s="897">
        <v>0</v>
      </c>
      <c r="BN653" s="897">
        <v>0</v>
      </c>
      <c r="BO653" s="989">
        <f t="shared" si="2034"/>
        <v>0</v>
      </c>
      <c r="BP653" s="988">
        <v>0</v>
      </c>
      <c r="BQ653" s="988">
        <v>0</v>
      </c>
      <c r="BR653" s="988">
        <v>0</v>
      </c>
      <c r="BS653" s="305"/>
    </row>
    <row r="654" spans="1:71" s="300" customFormat="1" ht="15" hidden="1" outlineLevel="1">
      <c r="A654" s="304" t="s">
        <v>350</v>
      </c>
      <c r="B654" s="166"/>
      <c r="C654" s="988">
        <v>224</v>
      </c>
      <c r="D654" s="988">
        <v>18</v>
      </c>
      <c r="E654" s="988">
        <v>-3</v>
      </c>
      <c r="F654" s="988">
        <v>-4</v>
      </c>
      <c r="G654" s="988">
        <v>-7</v>
      </c>
      <c r="H654" s="92"/>
      <c r="I654" s="92"/>
      <c r="J654" s="92"/>
      <c r="K654" s="92"/>
      <c r="L654" s="989"/>
      <c r="M654" s="92"/>
      <c r="N654" s="92"/>
      <c r="O654" s="92"/>
      <c r="P654" s="92"/>
      <c r="Q654" s="989"/>
      <c r="R654" s="92"/>
      <c r="S654" s="92"/>
      <c r="T654" s="92"/>
      <c r="U654" s="92"/>
      <c r="V654" s="989"/>
      <c r="W654" s="92"/>
      <c r="X654" s="92"/>
      <c r="Y654" s="92"/>
      <c r="Z654" s="92"/>
      <c r="AA654" s="989"/>
      <c r="AB654" s="92"/>
      <c r="AC654" s="92"/>
      <c r="AD654" s="92"/>
      <c r="AE654" s="305">
        <f t="shared" si="2027"/>
        <v>0</v>
      </c>
      <c r="AF654" s="989"/>
      <c r="AG654" s="92"/>
      <c r="AH654" s="92"/>
      <c r="AI654" s="92"/>
      <c r="AJ654" s="305">
        <f t="shared" si="2028"/>
        <v>0</v>
      </c>
      <c r="AK654" s="989"/>
      <c r="AL654" s="92"/>
      <c r="AM654" s="92"/>
      <c r="AN654" s="92"/>
      <c r="AO654" s="897">
        <v>0</v>
      </c>
      <c r="AP654" s="989">
        <f t="shared" si="2029"/>
        <v>0</v>
      </c>
      <c r="AQ654" s="92"/>
      <c r="AR654" s="92"/>
      <c r="AS654" s="92"/>
      <c r="AT654" s="92"/>
      <c r="AU654" s="989">
        <f t="shared" si="2030"/>
        <v>0</v>
      </c>
      <c r="AV654" s="92"/>
      <c r="AW654" s="92"/>
      <c r="AX654" s="92"/>
      <c r="AY654" s="92"/>
      <c r="AZ654" s="989">
        <f t="shared" si="2031"/>
        <v>0</v>
      </c>
      <c r="BA654" s="92"/>
      <c r="BB654" s="92"/>
      <c r="BC654" s="92"/>
      <c r="BD654" s="92"/>
      <c r="BE654" s="989">
        <f t="shared" si="2032"/>
        <v>0</v>
      </c>
      <c r="BF654" s="92"/>
      <c r="BG654" s="92"/>
      <c r="BH654" s="464"/>
      <c r="BI654" s="897">
        <v>0</v>
      </c>
      <c r="BJ654" s="989">
        <f t="shared" si="2033"/>
        <v>0</v>
      </c>
      <c r="BK654" s="897">
        <v>0</v>
      </c>
      <c r="BL654" s="897">
        <v>0</v>
      </c>
      <c r="BM654" s="897">
        <v>0</v>
      </c>
      <c r="BN654" s="897">
        <v>0</v>
      </c>
      <c r="BO654" s="989">
        <f t="shared" si="2034"/>
        <v>0</v>
      </c>
      <c r="BP654" s="988">
        <v>0</v>
      </c>
      <c r="BQ654" s="988">
        <v>0</v>
      </c>
      <c r="BR654" s="988">
        <v>0</v>
      </c>
      <c r="BS654" s="305"/>
    </row>
    <row r="655" spans="1:71" s="300" customFormat="1" ht="15" hidden="1" outlineLevel="1">
      <c r="A655" s="304" t="s">
        <v>650</v>
      </c>
      <c r="B655" s="166"/>
      <c r="C655" s="989"/>
      <c r="D655" s="989"/>
      <c r="E655" s="989"/>
      <c r="F655" s="989"/>
      <c r="G655" s="989"/>
      <c r="H655" s="92"/>
      <c r="I655" s="92"/>
      <c r="J655" s="92"/>
      <c r="K655" s="92"/>
      <c r="L655" s="989"/>
      <c r="M655" s="92"/>
      <c r="N655" s="92"/>
      <c r="O655" s="92"/>
      <c r="P655" s="92"/>
      <c r="Q655" s="989"/>
      <c r="R655" s="92"/>
      <c r="S655" s="92"/>
      <c r="T655" s="92"/>
      <c r="U655" s="92"/>
      <c r="V655" s="989"/>
      <c r="W655" s="92"/>
      <c r="X655" s="92"/>
      <c r="Y655" s="92"/>
      <c r="Z655" s="92"/>
      <c r="AA655" s="989"/>
      <c r="AB655" s="92"/>
      <c r="AC655" s="92"/>
      <c r="AD655" s="92"/>
      <c r="AE655" s="305">
        <f t="shared" si="2027"/>
        <v>0</v>
      </c>
      <c r="AF655" s="989"/>
      <c r="AG655" s="92"/>
      <c r="AH655" s="92"/>
      <c r="AI655" s="92"/>
      <c r="AJ655" s="305">
        <f t="shared" si="2028"/>
        <v>0</v>
      </c>
      <c r="AK655" s="989"/>
      <c r="AL655" s="92"/>
      <c r="AM655" s="92"/>
      <c r="AN655" s="92"/>
      <c r="AO655" s="897">
        <v>0</v>
      </c>
      <c r="AP655" s="993">
        <f t="shared" si="2029"/>
        <v>0</v>
      </c>
      <c r="AQ655" s="92"/>
      <c r="AR655" s="92"/>
      <c r="AS655" s="92"/>
      <c r="AT655" s="92"/>
      <c r="AU655" s="993">
        <f t="shared" si="2030"/>
        <v>0</v>
      </c>
      <c r="AV655" s="92"/>
      <c r="AW655" s="92"/>
      <c r="AX655" s="92"/>
      <c r="AY655" s="92"/>
      <c r="AZ655" s="993">
        <f t="shared" si="2031"/>
        <v>0</v>
      </c>
      <c r="BA655" s="92"/>
      <c r="BB655" s="92"/>
      <c r="BC655" s="92"/>
      <c r="BD655" s="92"/>
      <c r="BE655" s="993">
        <f t="shared" si="2032"/>
        <v>0</v>
      </c>
      <c r="BF655" s="92"/>
      <c r="BG655" s="92"/>
      <c r="BH655" s="464"/>
      <c r="BI655" s="92"/>
      <c r="BJ655" s="989">
        <f t="shared" si="2033"/>
        <v>0</v>
      </c>
      <c r="BK655" s="92"/>
      <c r="BL655" s="92"/>
      <c r="BM655" s="92"/>
      <c r="BN655" s="92"/>
      <c r="BO655" s="989">
        <f t="shared" si="2034"/>
        <v>0</v>
      </c>
      <c r="BP655" s="989"/>
      <c r="BQ655" s="989"/>
      <c r="BR655" s="989"/>
      <c r="BS655" s="305"/>
    </row>
    <row r="656" spans="1:71" s="300" customFormat="1" ht="15" hidden="1" outlineLevel="1">
      <c r="A656" s="304" t="s">
        <v>342</v>
      </c>
      <c r="B656" s="166"/>
      <c r="C656" s="988">
        <v>2</v>
      </c>
      <c r="D656" s="988">
        <v>29</v>
      </c>
      <c r="E656" s="988">
        <v>35</v>
      </c>
      <c r="F656" s="988">
        <v>33</v>
      </c>
      <c r="G656" s="988">
        <v>7</v>
      </c>
      <c r="H656" s="897">
        <v>-2</v>
      </c>
      <c r="I656" s="897">
        <v>-3</v>
      </c>
      <c r="J656" s="92"/>
      <c r="K656" s="897">
        <v>-2</v>
      </c>
      <c r="L656" s="988">
        <v>-7</v>
      </c>
      <c r="M656" s="897">
        <v>-1</v>
      </c>
      <c r="N656" s="92"/>
      <c r="O656" s="92"/>
      <c r="P656" s="897">
        <v>-1</v>
      </c>
      <c r="Q656" s="988">
        <v>-2</v>
      </c>
      <c r="R656" s="897">
        <v>-1</v>
      </c>
      <c r="S656" s="92"/>
      <c r="T656" s="92"/>
      <c r="U656" s="897">
        <v>-2</v>
      </c>
      <c r="V656" s="988">
        <v>-3</v>
      </c>
      <c r="W656" s="92"/>
      <c r="X656" s="897">
        <v>-1</v>
      </c>
      <c r="Y656" s="897">
        <v>-1</v>
      </c>
      <c r="Z656" s="897">
        <v>-1</v>
      </c>
      <c r="AA656" s="988">
        <v>-3</v>
      </c>
      <c r="AB656" s="92"/>
      <c r="AC656" s="897">
        <v>-1</v>
      </c>
      <c r="AD656" s="92"/>
      <c r="AE656" s="305">
        <f t="shared" si="2027"/>
        <v>-1</v>
      </c>
      <c r="AF656" s="988">
        <v>-2</v>
      </c>
      <c r="AG656" s="897">
        <v>-1</v>
      </c>
      <c r="AH656" s="897">
        <v>0</v>
      </c>
      <c r="AI656" s="897">
        <v>-1</v>
      </c>
      <c r="AJ656" s="305">
        <f t="shared" si="2028"/>
        <v>0</v>
      </c>
      <c r="AK656" s="988">
        <v>-2</v>
      </c>
      <c r="AL656" s="92"/>
      <c r="AM656" s="92"/>
      <c r="AN656" s="897">
        <v>1</v>
      </c>
      <c r="AO656" s="897">
        <v>1</v>
      </c>
      <c r="AP656" s="989">
        <f t="shared" si="2029"/>
        <v>2</v>
      </c>
      <c r="AQ656" s="897">
        <v>1</v>
      </c>
      <c r="AR656" s="92"/>
      <c r="AS656" s="92"/>
      <c r="AT656" s="897">
        <v>-1</v>
      </c>
      <c r="AU656" s="989">
        <f t="shared" si="2030"/>
        <v>0</v>
      </c>
      <c r="AV656" s="897">
        <v>0</v>
      </c>
      <c r="AW656" s="92"/>
      <c r="AX656" s="92"/>
      <c r="AY656" s="897">
        <v>0</v>
      </c>
      <c r="AZ656" s="989">
        <f t="shared" si="2031"/>
        <v>0</v>
      </c>
      <c r="BA656" s="92"/>
      <c r="BB656" s="92"/>
      <c r="BC656" s="92"/>
      <c r="BD656" s="92"/>
      <c r="BE656" s="989">
        <f t="shared" si="2032"/>
        <v>0</v>
      </c>
      <c r="BF656" s="92"/>
      <c r="BG656" s="92"/>
      <c r="BH656" s="464"/>
      <c r="BI656" s="897">
        <v>0</v>
      </c>
      <c r="BJ656" s="989">
        <f t="shared" si="2033"/>
        <v>0</v>
      </c>
      <c r="BK656" s="897">
        <v>0</v>
      </c>
      <c r="BL656" s="897">
        <v>0</v>
      </c>
      <c r="BM656" s="897">
        <v>0</v>
      </c>
      <c r="BN656" s="897">
        <v>0</v>
      </c>
      <c r="BO656" s="989">
        <f t="shared" si="2034"/>
        <v>0</v>
      </c>
      <c r="BP656" s="988">
        <v>0</v>
      </c>
      <c r="BQ656" s="988">
        <v>0</v>
      </c>
      <c r="BR656" s="988">
        <v>0</v>
      </c>
      <c r="BS656" s="305"/>
    </row>
    <row r="657" spans="1:71" s="300" customFormat="1" ht="15" hidden="1" outlineLevel="1">
      <c r="A657" s="304" t="s">
        <v>343</v>
      </c>
      <c r="B657" s="166"/>
      <c r="C657" s="989"/>
      <c r="D657" s="989"/>
      <c r="E657" s="988">
        <v>42</v>
      </c>
      <c r="F657" s="988">
        <v>81</v>
      </c>
      <c r="G657" s="989"/>
      <c r="H657" s="92"/>
      <c r="I657" s="92"/>
      <c r="J657" s="92"/>
      <c r="K657" s="92"/>
      <c r="L657" s="989"/>
      <c r="M657" s="92"/>
      <c r="N657" s="92"/>
      <c r="O657" s="92"/>
      <c r="P657" s="92"/>
      <c r="Q657" s="989"/>
      <c r="R657" s="897">
        <v>6</v>
      </c>
      <c r="S657" s="92"/>
      <c r="T657" s="92"/>
      <c r="U657" s="92"/>
      <c r="V657" s="989"/>
      <c r="W657" s="897">
        <v>29</v>
      </c>
      <c r="X657" s="897">
        <v>16</v>
      </c>
      <c r="Y657" s="897">
        <v>17</v>
      </c>
      <c r="Z657" s="897">
        <v>17</v>
      </c>
      <c r="AA657" s="988">
        <v>79</v>
      </c>
      <c r="AB657" s="897">
        <v>17</v>
      </c>
      <c r="AC657" s="897">
        <v>18</v>
      </c>
      <c r="AD657" s="897">
        <v>20</v>
      </c>
      <c r="AE657" s="305">
        <f t="shared" si="2027"/>
        <v>35</v>
      </c>
      <c r="AF657" s="988">
        <v>90</v>
      </c>
      <c r="AG657" s="897">
        <v>25</v>
      </c>
      <c r="AH657" s="897">
        <v>26</v>
      </c>
      <c r="AI657" s="897">
        <v>25</v>
      </c>
      <c r="AJ657" s="305">
        <f t="shared" si="2028"/>
        <v>24</v>
      </c>
      <c r="AK657" s="988">
        <v>100</v>
      </c>
      <c r="AL657" s="897">
        <v>28</v>
      </c>
      <c r="AM657" s="897">
        <v>29</v>
      </c>
      <c r="AN657" s="897">
        <v>31</v>
      </c>
      <c r="AO657" s="897">
        <v>30</v>
      </c>
      <c r="AP657" s="993">
        <f t="shared" si="2029"/>
        <v>118</v>
      </c>
      <c r="AQ657" s="897">
        <v>75</v>
      </c>
      <c r="AR657" s="897">
        <v>105</v>
      </c>
      <c r="AS657" s="897">
        <v>109</v>
      </c>
      <c r="AT657" s="897">
        <v>109</v>
      </c>
      <c r="AU657" s="993">
        <f t="shared" si="2030"/>
        <v>398</v>
      </c>
      <c r="AV657" s="897">
        <v>87</v>
      </c>
      <c r="AW657" s="897">
        <v>87</v>
      </c>
      <c r="AX657" s="897">
        <v>90</v>
      </c>
      <c r="AY657" s="897">
        <v>89</v>
      </c>
      <c r="AZ657" s="993">
        <f t="shared" si="2031"/>
        <v>353</v>
      </c>
      <c r="BA657" s="897">
        <v>81</v>
      </c>
      <c r="BB657" s="897">
        <v>82</v>
      </c>
      <c r="BC657" s="897">
        <v>83</v>
      </c>
      <c r="BD657" s="897">
        <v>83</v>
      </c>
      <c r="BE657" s="993">
        <f t="shared" si="2032"/>
        <v>329</v>
      </c>
      <c r="BF657" s="897">
        <v>69</v>
      </c>
      <c r="BG657" s="897">
        <v>70</v>
      </c>
      <c r="BH657" s="898">
        <v>71</v>
      </c>
      <c r="BI657" s="897">
        <v>0</v>
      </c>
      <c r="BJ657" s="989">
        <f t="shared" si="2033"/>
        <v>210</v>
      </c>
      <c r="BK657" s="897">
        <v>0</v>
      </c>
      <c r="BL657" s="897">
        <v>0</v>
      </c>
      <c r="BM657" s="897">
        <v>0</v>
      </c>
      <c r="BN657" s="897">
        <v>0</v>
      </c>
      <c r="BO657" s="989">
        <f t="shared" si="2034"/>
        <v>0</v>
      </c>
      <c r="BP657" s="988">
        <v>0</v>
      </c>
      <c r="BQ657" s="988">
        <v>0</v>
      </c>
      <c r="BR657" s="988">
        <v>0</v>
      </c>
      <c r="BS657" s="305"/>
    </row>
    <row r="658" spans="1:71" s="300" customFormat="1" ht="15" hidden="1" outlineLevel="1">
      <c r="A658" s="304" t="s">
        <v>826</v>
      </c>
      <c r="B658" s="166"/>
      <c r="C658" s="989"/>
      <c r="D658" s="989"/>
      <c r="E658" s="989"/>
      <c r="F658" s="989"/>
      <c r="G658" s="989"/>
      <c r="H658" s="92"/>
      <c r="I658" s="92"/>
      <c r="J658" s="92"/>
      <c r="K658" s="92"/>
      <c r="L658" s="989"/>
      <c r="M658" s="92"/>
      <c r="N658" s="92"/>
      <c r="O658" s="92"/>
      <c r="P658" s="92"/>
      <c r="Q658" s="989"/>
      <c r="R658" s="92"/>
      <c r="S658" s="92"/>
      <c r="T658" s="92"/>
      <c r="U658" s="92"/>
      <c r="V658" s="989"/>
      <c r="W658" s="92"/>
      <c r="X658" s="92"/>
      <c r="Y658" s="92"/>
      <c r="Z658" s="92"/>
      <c r="AA658" s="989"/>
      <c r="AB658" s="92"/>
      <c r="AC658" s="92"/>
      <c r="AD658" s="92"/>
      <c r="AE658" s="92"/>
      <c r="AF658" s="989"/>
      <c r="AG658" s="92"/>
      <c r="AH658" s="92"/>
      <c r="AI658" s="92"/>
      <c r="AJ658" s="92"/>
      <c r="AK658" s="989"/>
      <c r="AL658" s="92"/>
      <c r="AM658" s="92"/>
      <c r="AN658" s="92"/>
      <c r="AO658" s="92"/>
      <c r="AP658" s="989"/>
      <c r="AQ658" s="92"/>
      <c r="AR658" s="897">
        <v>-6</v>
      </c>
      <c r="AS658" s="897">
        <v>0</v>
      </c>
      <c r="AT658" s="92"/>
      <c r="AU658" s="993">
        <f t="shared" si="2030"/>
        <v>-6</v>
      </c>
      <c r="AV658" s="92"/>
      <c r="AW658" s="92"/>
      <c r="AX658" s="92"/>
      <c r="AY658" s="92"/>
      <c r="AZ658" s="993">
        <f t="shared" si="2031"/>
        <v>0</v>
      </c>
      <c r="BA658" s="92"/>
      <c r="BB658" s="92"/>
      <c r="BC658" s="92"/>
      <c r="BD658" s="92"/>
      <c r="BE658" s="993">
        <f t="shared" si="2032"/>
        <v>0</v>
      </c>
      <c r="BF658" s="92"/>
      <c r="BG658" s="92"/>
      <c r="BH658" s="464"/>
      <c r="BI658" s="92"/>
      <c r="BJ658" s="989"/>
      <c r="BK658" s="92"/>
      <c r="BL658" s="92"/>
      <c r="BM658" s="92"/>
      <c r="BN658" s="92"/>
      <c r="BO658" s="989"/>
      <c r="BP658" s="989"/>
      <c r="BQ658" s="989"/>
      <c r="BR658" s="989"/>
      <c r="BS658" s="305"/>
    </row>
    <row r="659" spans="1:71" s="300" customFormat="1" ht="15" hidden="1" outlineLevel="1">
      <c r="A659" s="304" t="s">
        <v>348</v>
      </c>
      <c r="B659" s="166"/>
      <c r="C659" s="989"/>
      <c r="D659" s="989"/>
      <c r="E659" s="989"/>
      <c r="F659" s="989"/>
      <c r="G659" s="988">
        <v>55</v>
      </c>
      <c r="H659" s="897">
        <v>11</v>
      </c>
      <c r="I659" s="897">
        <v>11</v>
      </c>
      <c r="J659" s="897">
        <v>11</v>
      </c>
      <c r="K659" s="897">
        <v>12</v>
      </c>
      <c r="L659" s="988">
        <v>45</v>
      </c>
      <c r="M659" s="897">
        <v>8</v>
      </c>
      <c r="N659" s="897">
        <v>8</v>
      </c>
      <c r="O659" s="897">
        <v>8</v>
      </c>
      <c r="P659" s="897">
        <v>8</v>
      </c>
      <c r="Q659" s="988">
        <v>32</v>
      </c>
      <c r="R659" s="92"/>
      <c r="S659" s="897">
        <v>6</v>
      </c>
      <c r="T659" s="897">
        <v>5</v>
      </c>
      <c r="U659" s="897">
        <v>4</v>
      </c>
      <c r="V659" s="988">
        <v>21</v>
      </c>
      <c r="W659" s="92"/>
      <c r="X659" s="92"/>
      <c r="Y659" s="92"/>
      <c r="Z659" s="92"/>
      <c r="AA659" s="989"/>
      <c r="AB659" s="92"/>
      <c r="AC659" s="92"/>
      <c r="AD659" s="92"/>
      <c r="AE659" s="305">
        <f t="shared" si="2035" ref="AE659:AE665">AF659-SUM(AB659,AC659,AD659)</f>
        <v>0</v>
      </c>
      <c r="AF659" s="989"/>
      <c r="AG659" s="92"/>
      <c r="AH659" s="92"/>
      <c r="AI659" s="92"/>
      <c r="AJ659" s="305">
        <f t="shared" si="2036" ref="AJ659:AJ665">AK659-SUM(AG659,AH659,AI659)</f>
        <v>0</v>
      </c>
      <c r="AK659" s="989"/>
      <c r="AL659" s="92"/>
      <c r="AM659" s="92"/>
      <c r="AN659" s="92"/>
      <c r="AO659" s="897">
        <v>0</v>
      </c>
      <c r="AP659" s="989">
        <f t="shared" si="2037" ref="AP659:AP668">SUM(AL659,AM659,AN659,AO659)</f>
        <v>0</v>
      </c>
      <c r="AQ659" s="92"/>
      <c r="AR659" s="92"/>
      <c r="AS659" s="92"/>
      <c r="AT659" s="92"/>
      <c r="AU659" s="989">
        <f t="shared" si="2038" ref="AU659:AU668">SUM(AQ659,AR659,AS659,AT659)</f>
        <v>0</v>
      </c>
      <c r="AV659" s="92"/>
      <c r="AW659" s="92"/>
      <c r="AX659" s="92"/>
      <c r="AY659" s="92"/>
      <c r="AZ659" s="989">
        <f t="shared" si="2031"/>
        <v>0</v>
      </c>
      <c r="BA659" s="92"/>
      <c r="BB659" s="92"/>
      <c r="BC659" s="92"/>
      <c r="BD659" s="92"/>
      <c r="BE659" s="989">
        <f t="shared" si="2032"/>
        <v>0</v>
      </c>
      <c r="BF659" s="92"/>
      <c r="BG659" s="92"/>
      <c r="BH659" s="464"/>
      <c r="BI659" s="897">
        <v>0</v>
      </c>
      <c r="BJ659" s="989">
        <f t="shared" si="2039" ref="BJ659:BJ668">SUM(BF659,BG659,BH659,BI659)</f>
        <v>0</v>
      </c>
      <c r="BK659" s="897">
        <v>0</v>
      </c>
      <c r="BL659" s="897">
        <v>0</v>
      </c>
      <c r="BM659" s="897">
        <v>0</v>
      </c>
      <c r="BN659" s="897">
        <v>0</v>
      </c>
      <c r="BO659" s="989">
        <f t="shared" si="2040" ref="BO659:BO668">SUM(BK659,BL659,BM659,BN659)</f>
        <v>0</v>
      </c>
      <c r="BP659" s="988">
        <v>0</v>
      </c>
      <c r="BQ659" s="988">
        <v>0</v>
      </c>
      <c r="BR659" s="988">
        <v>0</v>
      </c>
      <c r="BS659" s="305"/>
    </row>
    <row r="660" spans="1:71" s="300" customFormat="1" ht="15" hidden="1" outlineLevel="1">
      <c r="A660" s="304" t="s">
        <v>344</v>
      </c>
      <c r="B660" s="166"/>
      <c r="C660" s="989"/>
      <c r="D660" s="989"/>
      <c r="E660" s="989"/>
      <c r="F660" s="989"/>
      <c r="G660" s="989"/>
      <c r="H660" s="92"/>
      <c r="I660" s="92"/>
      <c r="J660" s="92"/>
      <c r="K660" s="92"/>
      <c r="L660" s="989"/>
      <c r="M660" s="92"/>
      <c r="N660" s="92"/>
      <c r="O660" s="92"/>
      <c r="P660" s="92"/>
      <c r="Q660" s="989"/>
      <c r="R660" s="92"/>
      <c r="S660" s="92"/>
      <c r="T660" s="92"/>
      <c r="U660" s="92"/>
      <c r="V660" s="989"/>
      <c r="W660" s="92"/>
      <c r="X660" s="92"/>
      <c r="Y660" s="92"/>
      <c r="Z660" s="897">
        <v>125</v>
      </c>
      <c r="AA660" s="988">
        <v>125</v>
      </c>
      <c r="AB660" s="92"/>
      <c r="AC660" s="92"/>
      <c r="AD660" s="92"/>
      <c r="AE660" s="305">
        <f t="shared" si="2035"/>
        <v>0</v>
      </c>
      <c r="AF660" s="989"/>
      <c r="AG660" s="92"/>
      <c r="AH660" s="897">
        <v>43</v>
      </c>
      <c r="AI660" s="92"/>
      <c r="AJ660" s="305">
        <f t="shared" si="2036"/>
        <v>40</v>
      </c>
      <c r="AK660" s="988">
        <v>83</v>
      </c>
      <c r="AL660" s="92"/>
      <c r="AM660" s="92"/>
      <c r="AN660" s="92"/>
      <c r="AO660" s="897">
        <v>0</v>
      </c>
      <c r="AP660" s="993">
        <f t="shared" si="2037"/>
        <v>0</v>
      </c>
      <c r="AQ660" s="92"/>
      <c r="AR660" s="92"/>
      <c r="AS660" s="92"/>
      <c r="AT660" s="92"/>
      <c r="AU660" s="993">
        <f t="shared" si="2038"/>
        <v>0</v>
      </c>
      <c r="AV660" s="92"/>
      <c r="AW660" s="92"/>
      <c r="AX660" s="92"/>
      <c r="AY660" s="92"/>
      <c r="AZ660" s="993">
        <f t="shared" si="2031"/>
        <v>0</v>
      </c>
      <c r="BA660" s="92"/>
      <c r="BB660" s="92"/>
      <c r="BC660" s="92"/>
      <c r="BD660" s="92"/>
      <c r="BE660" s="993">
        <f t="shared" si="2032"/>
        <v>0</v>
      </c>
      <c r="BF660" s="92"/>
      <c r="BG660" s="92"/>
      <c r="BH660" s="464"/>
      <c r="BI660" s="897">
        <v>0</v>
      </c>
      <c r="BJ660" s="989">
        <f t="shared" si="2039"/>
        <v>0</v>
      </c>
      <c r="BK660" s="897">
        <v>0</v>
      </c>
      <c r="BL660" s="897">
        <v>0</v>
      </c>
      <c r="BM660" s="897">
        <v>0</v>
      </c>
      <c r="BN660" s="897">
        <v>0</v>
      </c>
      <c r="BO660" s="989">
        <f t="shared" si="2040"/>
        <v>0</v>
      </c>
      <c r="BP660" s="988">
        <v>0</v>
      </c>
      <c r="BQ660" s="988">
        <v>0</v>
      </c>
      <c r="BR660" s="988">
        <v>0</v>
      </c>
      <c r="BS660" s="305"/>
    </row>
    <row r="661" spans="1:71" s="300" customFormat="1" ht="15" hidden="1" outlineLevel="1">
      <c r="A661" s="304" t="s">
        <v>345</v>
      </c>
      <c r="B661" s="166"/>
      <c r="C661" s="988">
        <v>-4</v>
      </c>
      <c r="D661" s="988">
        <v>-7</v>
      </c>
      <c r="E661" s="988">
        <v>5</v>
      </c>
      <c r="F661" s="988">
        <v>-12</v>
      </c>
      <c r="G661" s="988">
        <v>515</v>
      </c>
      <c r="H661" s="897">
        <v>16</v>
      </c>
      <c r="I661" s="897">
        <v>-26</v>
      </c>
      <c r="J661" s="897">
        <v>28</v>
      </c>
      <c r="K661" s="897">
        <v>-2</v>
      </c>
      <c r="L661" s="988">
        <v>16</v>
      </c>
      <c r="M661" s="897">
        <v>1</v>
      </c>
      <c r="N661" s="897">
        <v>-1</v>
      </c>
      <c r="O661" s="897">
        <v>-1</v>
      </c>
      <c r="P661" s="897">
        <v>-1</v>
      </c>
      <c r="Q661" s="988">
        <v>-2</v>
      </c>
      <c r="R661" s="897">
        <v>-1</v>
      </c>
      <c r="S661" s="897">
        <v>-1</v>
      </c>
      <c r="T661" s="897">
        <v>-1</v>
      </c>
      <c r="U661" s="92"/>
      <c r="V661" s="988">
        <v>-3</v>
      </c>
      <c r="W661" s="897">
        <v>-2</v>
      </c>
      <c r="X661" s="897">
        <v>-6</v>
      </c>
      <c r="Y661" s="897">
        <v>-2</v>
      </c>
      <c r="Z661" s="897">
        <v>-3</v>
      </c>
      <c r="AA661" s="988">
        <v>-13</v>
      </c>
      <c r="AB661" s="897">
        <v>-1</v>
      </c>
      <c r="AC661" s="897">
        <v>-1</v>
      </c>
      <c r="AD661" s="897">
        <v>-1</v>
      </c>
      <c r="AE661" s="305">
        <f t="shared" si="2035"/>
        <v>-1</v>
      </c>
      <c r="AF661" s="988">
        <v>-4</v>
      </c>
      <c r="AG661" s="897">
        <v>-1</v>
      </c>
      <c r="AH661" s="897">
        <v>-1</v>
      </c>
      <c r="AI661" s="92"/>
      <c r="AJ661" s="305">
        <f t="shared" si="2036"/>
        <v>-2</v>
      </c>
      <c r="AK661" s="988">
        <v>-4</v>
      </c>
      <c r="AL661" s="92"/>
      <c r="AM661" s="92"/>
      <c r="AN661" s="92"/>
      <c r="AO661" s="897">
        <v>0</v>
      </c>
      <c r="AP661" s="993">
        <f t="shared" si="2037"/>
        <v>0</v>
      </c>
      <c r="AQ661" s="92"/>
      <c r="AR661" s="92"/>
      <c r="AS661" s="92"/>
      <c r="AT661" s="92"/>
      <c r="AU661" s="993">
        <f t="shared" si="2038"/>
        <v>0</v>
      </c>
      <c r="AV661" s="897">
        <v>16</v>
      </c>
      <c r="AW661" s="897">
        <v>-27</v>
      </c>
      <c r="AX661" s="897">
        <v>5</v>
      </c>
      <c r="AY661" s="897">
        <v>-83</v>
      </c>
      <c r="AZ661" s="993">
        <f t="shared" si="2031"/>
        <v>-89</v>
      </c>
      <c r="BA661" s="897">
        <v>-9</v>
      </c>
      <c r="BB661" s="897">
        <v>8</v>
      </c>
      <c r="BC661" s="897">
        <v>5</v>
      </c>
      <c r="BD661" s="897">
        <v>-8</v>
      </c>
      <c r="BE661" s="993">
        <f t="shared" si="2032"/>
        <v>-4</v>
      </c>
      <c r="BF661" s="897">
        <v>-4</v>
      </c>
      <c r="BG661" s="897">
        <v>-1</v>
      </c>
      <c r="BH661" s="898">
        <v>-1</v>
      </c>
      <c r="BI661" s="897">
        <v>0</v>
      </c>
      <c r="BJ661" s="989">
        <f t="shared" si="2039"/>
        <v>-6</v>
      </c>
      <c r="BK661" s="897">
        <v>0</v>
      </c>
      <c r="BL661" s="897">
        <v>0</v>
      </c>
      <c r="BM661" s="897">
        <v>0</v>
      </c>
      <c r="BN661" s="897">
        <v>0</v>
      </c>
      <c r="BO661" s="989">
        <f t="shared" si="2040"/>
        <v>0</v>
      </c>
      <c r="BP661" s="988">
        <v>0</v>
      </c>
      <c r="BQ661" s="988">
        <v>0</v>
      </c>
      <c r="BR661" s="988">
        <v>0</v>
      </c>
      <c r="BS661" s="305"/>
    </row>
    <row r="662" spans="1:71" s="300" customFormat="1" ht="15" hidden="1" outlineLevel="1">
      <c r="A662" s="304" t="s">
        <v>351</v>
      </c>
      <c r="B662" s="166"/>
      <c r="C662" s="989"/>
      <c r="D662" s="989"/>
      <c r="E662" s="989"/>
      <c r="F662" s="989"/>
      <c r="G662" s="988">
        <v>319</v>
      </c>
      <c r="H662" s="92"/>
      <c r="I662" s="92"/>
      <c r="J662" s="92"/>
      <c r="K662" s="92"/>
      <c r="L662" s="989"/>
      <c r="M662" s="92"/>
      <c r="N662" s="92"/>
      <c r="O662" s="92"/>
      <c r="P662" s="92"/>
      <c r="Q662" s="989"/>
      <c r="R662" s="92"/>
      <c r="S662" s="92"/>
      <c r="T662" s="92"/>
      <c r="U662" s="92"/>
      <c r="V662" s="989"/>
      <c r="W662" s="92"/>
      <c r="X662" s="92"/>
      <c r="Y662" s="92"/>
      <c r="Z662" s="92"/>
      <c r="AA662" s="989"/>
      <c r="AB662" s="92"/>
      <c r="AC662" s="92"/>
      <c r="AD662" s="92"/>
      <c r="AE662" s="305">
        <f t="shared" si="2035"/>
        <v>0</v>
      </c>
      <c r="AF662" s="989"/>
      <c r="AG662" s="92"/>
      <c r="AH662" s="92"/>
      <c r="AI662" s="92"/>
      <c r="AJ662" s="305">
        <f t="shared" si="2036"/>
        <v>0</v>
      </c>
      <c r="AK662" s="989"/>
      <c r="AL662" s="92"/>
      <c r="AM662" s="92"/>
      <c r="AN662" s="92"/>
      <c r="AO662" s="897">
        <v>0</v>
      </c>
      <c r="AP662" s="989">
        <f t="shared" si="2037"/>
        <v>0</v>
      </c>
      <c r="AQ662" s="92"/>
      <c r="AR662" s="92"/>
      <c r="AS662" s="92"/>
      <c r="AT662" s="92"/>
      <c r="AU662" s="989">
        <f t="shared" si="2038"/>
        <v>0</v>
      </c>
      <c r="AV662" s="92"/>
      <c r="AW662" s="92"/>
      <c r="AX662" s="92"/>
      <c r="AY662" s="92"/>
      <c r="AZ662" s="989">
        <f t="shared" si="2031"/>
        <v>0</v>
      </c>
      <c r="BA662" s="92"/>
      <c r="BB662" s="92"/>
      <c r="BC662" s="92"/>
      <c r="BD662" s="92"/>
      <c r="BE662" s="989">
        <f t="shared" si="2032"/>
        <v>0</v>
      </c>
      <c r="BF662" s="92"/>
      <c r="BG662" s="92"/>
      <c r="BH662" s="464"/>
      <c r="BI662" s="897">
        <v>0</v>
      </c>
      <c r="BJ662" s="989">
        <f t="shared" si="2039"/>
        <v>0</v>
      </c>
      <c r="BK662" s="897">
        <v>0</v>
      </c>
      <c r="BL662" s="897">
        <v>0</v>
      </c>
      <c r="BM662" s="897">
        <v>0</v>
      </c>
      <c r="BN662" s="897">
        <v>0</v>
      </c>
      <c r="BO662" s="989">
        <f t="shared" si="2040"/>
        <v>0</v>
      </c>
      <c r="BP662" s="988">
        <v>0</v>
      </c>
      <c r="BQ662" s="988">
        <v>0</v>
      </c>
      <c r="BR662" s="988">
        <v>0</v>
      </c>
      <c r="BS662" s="305"/>
    </row>
    <row r="663" spans="1:71" s="300" customFormat="1" ht="15" hidden="1" outlineLevel="1">
      <c r="A663" s="304" t="s">
        <v>352</v>
      </c>
      <c r="B663" s="166"/>
      <c r="C663" s="989"/>
      <c r="D663" s="989"/>
      <c r="E663" s="989"/>
      <c r="F663" s="989"/>
      <c r="G663" s="988">
        <v>-118</v>
      </c>
      <c r="H663" s="92"/>
      <c r="I663" s="92"/>
      <c r="J663" s="92"/>
      <c r="K663" s="92"/>
      <c r="L663" s="989"/>
      <c r="M663" s="92"/>
      <c r="N663" s="92"/>
      <c r="O663" s="92"/>
      <c r="P663" s="92"/>
      <c r="Q663" s="989"/>
      <c r="R663" s="92"/>
      <c r="S663" s="92"/>
      <c r="T663" s="92"/>
      <c r="U663" s="92"/>
      <c r="V663" s="989"/>
      <c r="W663" s="92"/>
      <c r="X663" s="92"/>
      <c r="Y663" s="92"/>
      <c r="Z663" s="92"/>
      <c r="AA663" s="989"/>
      <c r="AB663" s="92"/>
      <c r="AC663" s="92"/>
      <c r="AD663" s="92"/>
      <c r="AE663" s="305">
        <f t="shared" si="2035"/>
        <v>0</v>
      </c>
      <c r="AF663" s="989"/>
      <c r="AG663" s="92"/>
      <c r="AH663" s="92"/>
      <c r="AI663" s="92"/>
      <c r="AJ663" s="305">
        <f t="shared" si="2036"/>
        <v>0</v>
      </c>
      <c r="AK663" s="989"/>
      <c r="AL663" s="92"/>
      <c r="AM663" s="92"/>
      <c r="AN663" s="92"/>
      <c r="AO663" s="897">
        <v>0</v>
      </c>
      <c r="AP663" s="989">
        <f t="shared" si="2037"/>
        <v>0</v>
      </c>
      <c r="AQ663" s="92"/>
      <c r="AR663" s="92"/>
      <c r="AS663" s="92"/>
      <c r="AT663" s="92"/>
      <c r="AU663" s="989">
        <f t="shared" si="2038"/>
        <v>0</v>
      </c>
      <c r="AV663" s="92"/>
      <c r="AW663" s="92"/>
      <c r="AX663" s="92"/>
      <c r="AY663" s="92"/>
      <c r="AZ663" s="989">
        <f t="shared" si="2031"/>
        <v>0</v>
      </c>
      <c r="BA663" s="92"/>
      <c r="BB663" s="92"/>
      <c r="BC663" s="92"/>
      <c r="BD663" s="92"/>
      <c r="BE663" s="989">
        <f t="shared" si="2032"/>
        <v>0</v>
      </c>
      <c r="BF663" s="92"/>
      <c r="BG663" s="92"/>
      <c r="BH663" s="464"/>
      <c r="BI663" s="897">
        <v>0</v>
      </c>
      <c r="BJ663" s="989">
        <f t="shared" si="2039"/>
        <v>0</v>
      </c>
      <c r="BK663" s="897">
        <v>0</v>
      </c>
      <c r="BL663" s="897">
        <v>0</v>
      </c>
      <c r="BM663" s="897">
        <v>0</v>
      </c>
      <c r="BN663" s="897">
        <v>0</v>
      </c>
      <c r="BO663" s="989">
        <f t="shared" si="2040"/>
        <v>0</v>
      </c>
      <c r="BP663" s="988">
        <v>0</v>
      </c>
      <c r="BQ663" s="988">
        <v>0</v>
      </c>
      <c r="BR663" s="988">
        <v>0</v>
      </c>
      <c r="BS663" s="305"/>
    </row>
    <row r="664" spans="1:71" s="300" customFormat="1" ht="15" hidden="1" outlineLevel="1">
      <c r="A664" s="304" t="s">
        <v>349</v>
      </c>
      <c r="B664" s="166"/>
      <c r="C664" s="989"/>
      <c r="D664" s="989"/>
      <c r="E664" s="989"/>
      <c r="F664" s="989"/>
      <c r="G664" s="989"/>
      <c r="H664" s="92"/>
      <c r="I664" s="92"/>
      <c r="J664" s="92"/>
      <c r="K664" s="92"/>
      <c r="L664" s="989"/>
      <c r="M664" s="897">
        <v>45</v>
      </c>
      <c r="N664" s="92"/>
      <c r="O664" s="92"/>
      <c r="P664" s="92"/>
      <c r="Q664" s="988">
        <v>45</v>
      </c>
      <c r="R664" s="92"/>
      <c r="S664" s="92"/>
      <c r="T664" s="92"/>
      <c r="U664" s="92"/>
      <c r="V664" s="989"/>
      <c r="W664" s="92"/>
      <c r="X664" s="92"/>
      <c r="Y664" s="92"/>
      <c r="Z664" s="92"/>
      <c r="AA664" s="989"/>
      <c r="AB664" s="92"/>
      <c r="AC664" s="92"/>
      <c r="AD664" s="92"/>
      <c r="AE664" s="305">
        <f t="shared" si="2035"/>
        <v>0</v>
      </c>
      <c r="AF664" s="989"/>
      <c r="AG664" s="92"/>
      <c r="AH664" s="92"/>
      <c r="AI664" s="92"/>
      <c r="AJ664" s="305">
        <f t="shared" si="2036"/>
        <v>0</v>
      </c>
      <c r="AK664" s="989"/>
      <c r="AL664" s="92"/>
      <c r="AM664" s="92"/>
      <c r="AN664" s="92"/>
      <c r="AO664" s="897">
        <v>0</v>
      </c>
      <c r="AP664" s="989">
        <f t="shared" si="2037"/>
        <v>0</v>
      </c>
      <c r="AQ664" s="92"/>
      <c r="AR664" s="92"/>
      <c r="AS664" s="92"/>
      <c r="AT664" s="92"/>
      <c r="AU664" s="989">
        <f t="shared" si="2038"/>
        <v>0</v>
      </c>
      <c r="AV664" s="92"/>
      <c r="AW664" s="92"/>
      <c r="AX664" s="92"/>
      <c r="AY664" s="92"/>
      <c r="AZ664" s="989">
        <f t="shared" si="2031"/>
        <v>0</v>
      </c>
      <c r="BA664" s="92"/>
      <c r="BB664" s="92"/>
      <c r="BC664" s="92"/>
      <c r="BD664" s="92"/>
      <c r="BE664" s="989">
        <f t="shared" si="2032"/>
        <v>0</v>
      </c>
      <c r="BF664" s="92"/>
      <c r="BG664" s="92"/>
      <c r="BH664" s="464"/>
      <c r="BI664" s="897">
        <v>0</v>
      </c>
      <c r="BJ664" s="989">
        <f t="shared" si="2039"/>
        <v>0</v>
      </c>
      <c r="BK664" s="897">
        <v>0</v>
      </c>
      <c r="BL664" s="897">
        <v>0</v>
      </c>
      <c r="BM664" s="897">
        <v>0</v>
      </c>
      <c r="BN664" s="897">
        <v>0</v>
      </c>
      <c r="BO664" s="989">
        <f t="shared" si="2040"/>
        <v>0</v>
      </c>
      <c r="BP664" s="988">
        <v>0</v>
      </c>
      <c r="BQ664" s="988">
        <v>0</v>
      </c>
      <c r="BR664" s="988">
        <v>0</v>
      </c>
      <c r="BS664" s="305"/>
    </row>
    <row r="665" spans="1:71" s="300" customFormat="1" ht="15" hidden="1" outlineLevel="1">
      <c r="A665" s="304" t="s">
        <v>346</v>
      </c>
      <c r="B665" s="166"/>
      <c r="C665" s="989"/>
      <c r="D665" s="989"/>
      <c r="E665" s="989"/>
      <c r="F665" s="989"/>
      <c r="G665" s="989"/>
      <c r="H665" s="92"/>
      <c r="I665" s="92"/>
      <c r="J665" s="92"/>
      <c r="K665" s="92"/>
      <c r="L665" s="989"/>
      <c r="M665" s="92"/>
      <c r="N665" s="92"/>
      <c r="O665" s="92"/>
      <c r="P665" s="92"/>
      <c r="Q665" s="989"/>
      <c r="R665" s="92"/>
      <c r="S665" s="92"/>
      <c r="T665" s="92"/>
      <c r="U665" s="92"/>
      <c r="V665" s="989"/>
      <c r="W665" s="92"/>
      <c r="X665" s="92"/>
      <c r="Y665" s="92"/>
      <c r="Z665" s="897">
        <v>-506</v>
      </c>
      <c r="AA665" s="988">
        <v>-506</v>
      </c>
      <c r="AB665" s="92"/>
      <c r="AC665" s="92"/>
      <c r="AD665" s="897">
        <v>-31</v>
      </c>
      <c r="AE665" s="305">
        <f t="shared" si="2035"/>
        <v>2</v>
      </c>
      <c r="AF665" s="988">
        <v>-29</v>
      </c>
      <c r="AG665" s="92"/>
      <c r="AH665" s="92"/>
      <c r="AI665" s="92"/>
      <c r="AJ665" s="305">
        <f t="shared" si="2036"/>
        <v>0</v>
      </c>
      <c r="AK665" s="989"/>
      <c r="AL665" s="92"/>
      <c r="AM665" s="92"/>
      <c r="AN665" s="92"/>
      <c r="AO665" s="897">
        <v>0</v>
      </c>
      <c r="AP665" s="989">
        <f t="shared" si="2037"/>
        <v>0</v>
      </c>
      <c r="AQ665" s="92"/>
      <c r="AR665" s="92"/>
      <c r="AS665" s="92"/>
      <c r="AT665" s="92"/>
      <c r="AU665" s="989">
        <f t="shared" si="2038"/>
        <v>0</v>
      </c>
      <c r="AV665" s="92"/>
      <c r="AW665" s="92"/>
      <c r="AX665" s="92"/>
      <c r="AY665" s="92"/>
      <c r="AZ665" s="989">
        <f t="shared" si="2031"/>
        <v>0</v>
      </c>
      <c r="BA665" s="92"/>
      <c r="BB665" s="92"/>
      <c r="BC665" s="92"/>
      <c r="BD665" s="92"/>
      <c r="BE665" s="989">
        <f t="shared" si="2032"/>
        <v>0</v>
      </c>
      <c r="BF665" s="92"/>
      <c r="BG665" s="92"/>
      <c r="BH665" s="464"/>
      <c r="BI665" s="897">
        <v>0</v>
      </c>
      <c r="BJ665" s="989">
        <f t="shared" si="2039"/>
        <v>0</v>
      </c>
      <c r="BK665" s="897">
        <v>0</v>
      </c>
      <c r="BL665" s="897">
        <v>0</v>
      </c>
      <c r="BM665" s="897">
        <v>0</v>
      </c>
      <c r="BN665" s="897">
        <v>0</v>
      </c>
      <c r="BO665" s="989">
        <f t="shared" si="2040"/>
        <v>0</v>
      </c>
      <c r="BP665" s="988">
        <v>0</v>
      </c>
      <c r="BQ665" s="988">
        <v>0</v>
      </c>
      <c r="BR665" s="988">
        <v>0</v>
      </c>
      <c r="BS665" s="305"/>
    </row>
    <row r="666" spans="1:71" s="300" customFormat="1" ht="15" hidden="1" outlineLevel="1">
      <c r="A666" s="304" t="s">
        <v>668</v>
      </c>
      <c r="B666" s="166"/>
      <c r="C666" s="989"/>
      <c r="D666" s="989"/>
      <c r="E666" s="989"/>
      <c r="F666" s="989"/>
      <c r="G666" s="989"/>
      <c r="H666" s="92"/>
      <c r="I666" s="92"/>
      <c r="J666" s="92"/>
      <c r="K666" s="92"/>
      <c r="L666" s="989"/>
      <c r="M666" s="92"/>
      <c r="N666" s="92"/>
      <c r="O666" s="92"/>
      <c r="P666" s="92"/>
      <c r="Q666" s="989"/>
      <c r="R666" s="92"/>
      <c r="S666" s="92"/>
      <c r="T666" s="92"/>
      <c r="U666" s="92"/>
      <c r="V666" s="989"/>
      <c r="W666" s="92"/>
      <c r="X666" s="92"/>
      <c r="Y666" s="92"/>
      <c r="Z666" s="92"/>
      <c r="AA666" s="989"/>
      <c r="AB666" s="92"/>
      <c r="AC666" s="92"/>
      <c r="AD666" s="92"/>
      <c r="AE666" s="92"/>
      <c r="AF666" s="989"/>
      <c r="AG666" s="92"/>
      <c r="AH666" s="92"/>
      <c r="AI666" s="92"/>
      <c r="AJ666" s="92"/>
      <c r="AK666" s="989"/>
      <c r="AL666" s="897">
        <v>370</v>
      </c>
      <c r="AM666" s="897">
        <v>-167</v>
      </c>
      <c r="AN666" s="897">
        <v>86</v>
      </c>
      <c r="AO666" s="897">
        <v>-446</v>
      </c>
      <c r="AP666" s="989">
        <f t="shared" si="2037"/>
        <v>-157</v>
      </c>
      <c r="AQ666" s="897">
        <v>4163</v>
      </c>
      <c r="AR666" s="897">
        <v>-493</v>
      </c>
      <c r="AS666" s="897">
        <v>-235</v>
      </c>
      <c r="AT666" s="897">
        <v>177</v>
      </c>
      <c r="AU666" s="989">
        <f t="shared" si="2038"/>
        <v>3612</v>
      </c>
      <c r="AV666" s="92"/>
      <c r="AW666" s="92"/>
      <c r="AX666" s="92"/>
      <c r="AY666" s="897">
        <v>0</v>
      </c>
      <c r="AZ666" s="989">
        <f t="shared" si="2031"/>
        <v>0</v>
      </c>
      <c r="BA666" s="92"/>
      <c r="BB666" s="92"/>
      <c r="BC666" s="92"/>
      <c r="BD666" s="92"/>
      <c r="BE666" s="989">
        <f t="shared" si="2032"/>
        <v>0</v>
      </c>
      <c r="BF666" s="92"/>
      <c r="BG666" s="92"/>
      <c r="BH666" s="464"/>
      <c r="BI666" s="92"/>
      <c r="BJ666" s="989">
        <f t="shared" si="2039"/>
        <v>0</v>
      </c>
      <c r="BK666" s="92"/>
      <c r="BL666" s="92"/>
      <c r="BM666" s="92"/>
      <c r="BN666" s="92"/>
      <c r="BO666" s="989">
        <f t="shared" si="2040"/>
        <v>0</v>
      </c>
      <c r="BP666" s="989"/>
      <c r="BQ666" s="989"/>
      <c r="BR666" s="989"/>
      <c r="BS666" s="305"/>
    </row>
    <row r="667" spans="1:71" s="300" customFormat="1" ht="15" hidden="1" outlineLevel="1">
      <c r="A667" s="111" t="s">
        <v>908</v>
      </c>
      <c r="B667" s="166"/>
      <c r="C667" s="989"/>
      <c r="D667" s="989"/>
      <c r="E667" s="989"/>
      <c r="F667" s="989"/>
      <c r="G667" s="989"/>
      <c r="H667" s="92"/>
      <c r="I667" s="92"/>
      <c r="J667" s="92"/>
      <c r="K667" s="92"/>
      <c r="L667" s="989"/>
      <c r="M667" s="92"/>
      <c r="N667" s="92"/>
      <c r="O667" s="92"/>
      <c r="P667" s="92"/>
      <c r="Q667" s="989"/>
      <c r="R667" s="92"/>
      <c r="S667" s="92"/>
      <c r="T667" s="92"/>
      <c r="U667" s="92"/>
      <c r="V667" s="989"/>
      <c r="W667" s="92"/>
      <c r="X667" s="92"/>
      <c r="Y667" s="92"/>
      <c r="Z667" s="92"/>
      <c r="AA667" s="989"/>
      <c r="AB667" s="92"/>
      <c r="AC667" s="92"/>
      <c r="AD667" s="92"/>
      <c r="AE667" s="92"/>
      <c r="AF667" s="989"/>
      <c r="AG667" s="92"/>
      <c r="AH667" s="92"/>
      <c r="AI667" s="92"/>
      <c r="AJ667" s="92"/>
      <c r="AK667" s="989"/>
      <c r="AL667" s="92"/>
      <c r="AM667" s="92"/>
      <c r="AN667" s="92"/>
      <c r="AO667" s="92"/>
      <c r="AP667" s="989"/>
      <c r="AQ667" s="92"/>
      <c r="AR667" s="92"/>
      <c r="AS667" s="92"/>
      <c r="AT667" s="92"/>
      <c r="AU667" s="989"/>
      <c r="AV667" s="92"/>
      <c r="AW667" s="92"/>
      <c r="AX667" s="92"/>
      <c r="AY667" s="92"/>
      <c r="AZ667" s="989"/>
      <c r="BA667" s="92"/>
      <c r="BB667" s="897">
        <v>90</v>
      </c>
      <c r="BC667" s="92"/>
      <c r="BD667" s="92"/>
      <c r="BE667" s="989">
        <f t="shared" si="2032"/>
        <v>90</v>
      </c>
      <c r="BF667" s="92"/>
      <c r="BG667" s="92"/>
      <c r="BH667" s="464"/>
      <c r="BI667" s="897">
        <v>0</v>
      </c>
      <c r="BJ667" s="989">
        <f>SUM(BF667,BG667,BH667,BI667)</f>
        <v>0</v>
      </c>
      <c r="BK667" s="897">
        <v>0</v>
      </c>
      <c r="BL667" s="897">
        <v>0</v>
      </c>
      <c r="BM667" s="897">
        <v>0</v>
      </c>
      <c r="BN667" s="897">
        <v>0</v>
      </c>
      <c r="BO667" s="989">
        <f t="shared" si="2040"/>
        <v>0</v>
      </c>
      <c r="BP667" s="988">
        <v>0</v>
      </c>
      <c r="BQ667" s="988">
        <v>0</v>
      </c>
      <c r="BR667" s="988">
        <v>0</v>
      </c>
      <c r="BS667" s="305"/>
    </row>
    <row r="668" spans="1:71" s="300" customFormat="1" ht="15" hidden="1" outlineLevel="1">
      <c r="A668" s="112" t="s">
        <v>667</v>
      </c>
      <c r="B668" s="395"/>
      <c r="C668" s="995"/>
      <c r="D668" s="995"/>
      <c r="E668" s="995"/>
      <c r="F668" s="995"/>
      <c r="G668" s="995"/>
      <c r="H668" s="115"/>
      <c r="I668" s="115"/>
      <c r="J668" s="115"/>
      <c r="K668" s="115"/>
      <c r="L668" s="995"/>
      <c r="M668" s="115"/>
      <c r="N668" s="115"/>
      <c r="O668" s="115"/>
      <c r="P668" s="115"/>
      <c r="Q668" s="995"/>
      <c r="R668" s="115"/>
      <c r="S668" s="115"/>
      <c r="T668" s="115"/>
      <c r="U668" s="115"/>
      <c r="V668" s="995"/>
      <c r="W668" s="115"/>
      <c r="X668" s="115"/>
      <c r="Y668" s="115"/>
      <c r="Z668" s="115"/>
      <c r="AA668" s="995"/>
      <c r="AB668" s="115"/>
      <c r="AC668" s="115"/>
      <c r="AD668" s="115"/>
      <c r="AE668" s="115"/>
      <c r="AF668" s="995"/>
      <c r="AG668" s="115"/>
      <c r="AH668" s="115"/>
      <c r="AI668" s="115"/>
      <c r="AJ668" s="115"/>
      <c r="AK668" s="995"/>
      <c r="AL668" s="900">
        <v>-189</v>
      </c>
      <c r="AM668" s="900">
        <v>97</v>
      </c>
      <c r="AN668" s="900">
        <v>54</v>
      </c>
      <c r="AO668" s="900">
        <v>272</v>
      </c>
      <c r="AP668" s="995">
        <f t="shared" si="2037"/>
        <v>234</v>
      </c>
      <c r="AQ668" s="900">
        <v>-224</v>
      </c>
      <c r="AR668" s="900">
        <v>369</v>
      </c>
      <c r="AS668" s="900">
        <v>-100</v>
      </c>
      <c r="AT668" s="900">
        <v>227</v>
      </c>
      <c r="AU668" s="995">
        <f t="shared" si="2038"/>
        <v>272</v>
      </c>
      <c r="AV668" s="900">
        <v>-27</v>
      </c>
      <c r="AW668" s="900">
        <v>-219</v>
      </c>
      <c r="AX668" s="900">
        <v>-67</v>
      </c>
      <c r="AY668" s="900">
        <v>16</v>
      </c>
      <c r="AZ668" s="995">
        <f>SUM(AV668,AW668,AX668,AY668)</f>
        <v>-297</v>
      </c>
      <c r="BA668" s="900">
        <v>-1</v>
      </c>
      <c r="BB668" s="900">
        <v>-64</v>
      </c>
      <c r="BC668" s="900">
        <v>-68</v>
      </c>
      <c r="BD668" s="900">
        <v>-24</v>
      </c>
      <c r="BE668" s="995">
        <f t="shared" si="2032"/>
        <v>-157</v>
      </c>
      <c r="BF668" s="900">
        <v>-49</v>
      </c>
      <c r="BG668" s="900">
        <v>-35</v>
      </c>
      <c r="BH668" s="901">
        <v>34</v>
      </c>
      <c r="BI668" s="900">
        <v>0</v>
      </c>
      <c r="BJ668" s="995">
        <f t="shared" si="2039"/>
        <v>-50</v>
      </c>
      <c r="BK668" s="900">
        <v>0</v>
      </c>
      <c r="BL668" s="900">
        <v>0</v>
      </c>
      <c r="BM668" s="900">
        <v>0</v>
      </c>
      <c r="BN668" s="900">
        <v>0</v>
      </c>
      <c r="BO668" s="995">
        <f t="shared" si="2040"/>
        <v>0</v>
      </c>
      <c r="BP668" s="990">
        <v>0</v>
      </c>
      <c r="BQ668" s="990">
        <v>0</v>
      </c>
      <c r="BR668" s="990">
        <v>0</v>
      </c>
      <c r="BS668" s="305"/>
    </row>
    <row r="669" spans="1:71" s="51" customFormat="1" ht="15" hidden="1" outlineLevel="1">
      <c r="A669" s="109" t="s">
        <v>347</v>
      </c>
      <c r="B669" s="483"/>
      <c r="C669" s="999">
        <f t="shared" si="2041" ref="C669:AP669">SUM(C648:C668)</f>
        <v>1881</v>
      </c>
      <c r="D669" s="999">
        <f t="shared" si="2041"/>
        <v>1539</v>
      </c>
      <c r="E669" s="999">
        <f t="shared" si="2041"/>
        <v>662</v>
      </c>
      <c r="F669" s="999">
        <f t="shared" si="2041"/>
        <v>2148</v>
      </c>
      <c r="G669" s="999">
        <f t="shared" si="2041"/>
        <v>2670</v>
      </c>
      <c r="H669" s="57">
        <f t="shared" si="2041"/>
        <v>588</v>
      </c>
      <c r="I669" s="57">
        <f t="shared" si="2041"/>
        <v>445</v>
      </c>
      <c r="J669" s="57">
        <f t="shared" si="2041"/>
        <v>598</v>
      </c>
      <c r="K669" s="57">
        <f t="shared" si="2041"/>
        <v>736</v>
      </c>
      <c r="L669" s="999">
        <f t="shared" si="2041"/>
        <v>2367</v>
      </c>
      <c r="M669" s="57">
        <f t="shared" si="2041"/>
        <v>616</v>
      </c>
      <c r="N669" s="57">
        <f t="shared" si="2041"/>
        <v>262</v>
      </c>
      <c r="O669" s="57">
        <f t="shared" si="2041"/>
        <v>610</v>
      </c>
      <c r="P669" s="57">
        <f t="shared" si="2041"/>
        <v>625</v>
      </c>
      <c r="Q669" s="999">
        <f t="shared" si="2041"/>
        <v>2113</v>
      </c>
      <c r="R669" s="57">
        <f t="shared" si="2041"/>
        <v>322</v>
      </c>
      <c r="S669" s="57">
        <f t="shared" si="2041"/>
        <v>235</v>
      </c>
      <c r="T669" s="57">
        <f t="shared" si="2041"/>
        <v>474</v>
      </c>
      <c r="U669" s="57">
        <f t="shared" si="2041"/>
        <v>807</v>
      </c>
      <c r="V669" s="999">
        <f t="shared" si="2041"/>
        <v>1838</v>
      </c>
      <c r="W669" s="57">
        <f t="shared" si="2041"/>
        <v>608</v>
      </c>
      <c r="X669" s="57">
        <f t="shared" si="2041"/>
        <v>510</v>
      </c>
      <c r="Y669" s="57">
        <f t="shared" si="2041"/>
        <v>587</v>
      </c>
      <c r="Z669" s="57">
        <f t="shared" si="2041"/>
        <v>762</v>
      </c>
      <c r="AA669" s="999">
        <f t="shared" si="2041"/>
        <v>2467</v>
      </c>
      <c r="AB669" s="57">
        <f t="shared" si="2041"/>
        <v>1066</v>
      </c>
      <c r="AC669" s="57">
        <f t="shared" si="2041"/>
        <v>675</v>
      </c>
      <c r="AD669" s="57">
        <f t="shared" si="2041"/>
        <v>680</v>
      </c>
      <c r="AE669" s="57">
        <f t="shared" si="2041"/>
        <v>430</v>
      </c>
      <c r="AF669" s="999">
        <f t="shared" si="2041"/>
        <v>2851</v>
      </c>
      <c r="AG669" s="57">
        <f t="shared" si="2041"/>
        <v>776</v>
      </c>
      <c r="AH669" s="57">
        <f t="shared" si="2041"/>
        <v>735</v>
      </c>
      <c r="AI669" s="57">
        <f t="shared" si="2041"/>
        <v>946</v>
      </c>
      <c r="AJ669" s="57">
        <f t="shared" si="2041"/>
        <v>1020</v>
      </c>
      <c r="AK669" s="999">
        <f t="shared" si="2041"/>
        <v>3477</v>
      </c>
      <c r="AL669" s="57">
        <f t="shared" si="2041"/>
        <v>1202</v>
      </c>
      <c r="AM669" s="57">
        <f t="shared" si="2041"/>
        <v>816</v>
      </c>
      <c r="AN669" s="57">
        <f t="shared" si="2041"/>
        <v>900</v>
      </c>
      <c r="AO669" s="57">
        <f t="shared" si="2041"/>
        <v>1594</v>
      </c>
      <c r="AP669" s="999">
        <f t="shared" si="2041"/>
        <v>4512</v>
      </c>
      <c r="AQ669" s="57">
        <f t="shared" si="2042" ref="AQ669:AV669">SUM(AQ648:AQ668)</f>
        <v>1871</v>
      </c>
      <c r="AR669" s="57">
        <f t="shared" si="2042"/>
        <v>1149</v>
      </c>
      <c r="AS669" s="57">
        <f t="shared" si="2042"/>
        <v>217</v>
      </c>
      <c r="AT669" s="57">
        <f t="shared" si="2042"/>
        <v>796</v>
      </c>
      <c r="AU669" s="999">
        <f t="shared" si="2042"/>
        <v>4033</v>
      </c>
      <c r="AV669" s="57">
        <f t="shared" si="2042"/>
        <v>730</v>
      </c>
      <c r="AW669" s="57">
        <f t="shared" si="2043" ref="AW669:BJ669">SUM(AW648:AW668)</f>
        <v>-207</v>
      </c>
      <c r="AX669" s="57">
        <f t="shared" si="2043"/>
        <v>-411</v>
      </c>
      <c r="AY669" s="57">
        <f t="shared" si="2043"/>
        <v>-351</v>
      </c>
      <c r="AZ669" s="999">
        <f t="shared" si="2043"/>
        <v>-239</v>
      </c>
      <c r="BA669" s="57">
        <f t="shared" si="2044" ref="BA669:BI669">SUM(BA648:BA668)</f>
        <v>-342</v>
      </c>
      <c r="BB669" s="57">
        <f t="shared" si="2044"/>
        <v>-1162</v>
      </c>
      <c r="BC669" s="57">
        <f t="shared" si="2044"/>
        <v>214</v>
      </c>
      <c r="BD669" s="57">
        <f t="shared" si="2044"/>
        <v>1541</v>
      </c>
      <c r="BE669" s="999">
        <f t="shared" si="2044"/>
        <v>251</v>
      </c>
      <c r="BF669" s="57">
        <f>SUM(BF648:BF668)</f>
        <v>1367</v>
      </c>
      <c r="BG669" s="57">
        <f>SUM(BG648:BG668)</f>
        <v>429</v>
      </c>
      <c r="BH669" s="745">
        <f>SUM(BH648:BH668)</f>
        <v>1048</v>
      </c>
      <c r="BI669" s="128">
        <f t="shared" si="2044"/>
        <v>1294.653136004099</v>
      </c>
      <c r="BJ669" s="1000">
        <f t="shared" si="2043"/>
        <v>4138.653136004099</v>
      </c>
      <c r="BK669" s="128">
        <f t="shared" si="2045" ref="BK669:BR669">SUM(BK648:BK668)</f>
        <v>1411.6043861260277</v>
      </c>
      <c r="BL669" s="128">
        <f t="shared" si="2045"/>
        <v>821.68568412054731</v>
      </c>
      <c r="BM669" s="128">
        <f t="shared" si="2045"/>
        <v>1173.1151435068505</v>
      </c>
      <c r="BN669" s="128">
        <f t="shared" si="2045"/>
        <v>1632.8029141044406</v>
      </c>
      <c r="BO669" s="1000">
        <f t="shared" si="2045"/>
        <v>5039.2081278578644</v>
      </c>
      <c r="BP669" s="1000">
        <f t="shared" si="2045"/>
        <v>5409.3146056623655</v>
      </c>
      <c r="BQ669" s="1000">
        <f t="shared" si="2045"/>
        <v>5544.5114582053411</v>
      </c>
      <c r="BR669" s="1000">
        <f t="shared" si="2045"/>
        <v>5700.331765037784</v>
      </c>
      <c r="BS669" s="57"/>
    </row>
    <row r="670" spans="1:71" s="17" customFormat="1" ht="15" collapsed="1">
      <c r="A670" s="492"/>
      <c r="B670" s="509"/>
      <c r="C670" s="1027"/>
      <c r="D670" s="1027"/>
      <c r="E670" s="1027"/>
      <c r="F670" s="1027"/>
      <c r="G670" s="1027"/>
      <c r="H670" s="843"/>
      <c r="I670" s="843"/>
      <c r="J670" s="843"/>
      <c r="K670" s="843"/>
      <c r="L670" s="1027"/>
      <c r="M670" s="843"/>
      <c r="N670" s="843"/>
      <c r="O670" s="843"/>
      <c r="P670" s="843"/>
      <c r="Q670" s="1027"/>
      <c r="R670" s="843"/>
      <c r="S670" s="843"/>
      <c r="T670" s="843"/>
      <c r="U670" s="843"/>
      <c r="V670" s="1027"/>
      <c r="W670" s="843"/>
      <c r="X670" s="843"/>
      <c r="Y670" s="843"/>
      <c r="Z670" s="843"/>
      <c r="AA670" s="1027"/>
      <c r="AB670" s="843"/>
      <c r="AC670" s="843"/>
      <c r="AD670" s="843"/>
      <c r="AE670" s="843"/>
      <c r="AF670" s="1027"/>
      <c r="AG670" s="843"/>
      <c r="AH670" s="843"/>
      <c r="AI670" s="843"/>
      <c r="AJ670" s="843"/>
      <c r="AK670" s="1027"/>
      <c r="AL670" s="843"/>
      <c r="AM670" s="843"/>
      <c r="AN670" s="843"/>
      <c r="AO670" s="843"/>
      <c r="AP670" s="1027"/>
      <c r="AQ670" s="843"/>
      <c r="AR670" s="843"/>
      <c r="AS670" s="843"/>
      <c r="AT670" s="843"/>
      <c r="AU670" s="1027"/>
      <c r="AV670" s="843"/>
      <c r="AW670" s="843"/>
      <c r="AX670" s="843"/>
      <c r="AY670" s="843"/>
      <c r="AZ670" s="1027"/>
      <c r="BA670" s="843"/>
      <c r="BB670" s="843"/>
      <c r="BC670" s="843"/>
      <c r="BD670" s="843"/>
      <c r="BE670" s="1027"/>
      <c r="BF670" s="843"/>
      <c r="BG670" s="843"/>
      <c r="BH670" s="844"/>
      <c r="BI670" s="843"/>
      <c r="BJ670" s="1027"/>
      <c r="BK670" s="843"/>
      <c r="BL670" s="843"/>
      <c r="BM670" s="843"/>
      <c r="BN670" s="843"/>
      <c r="BO670" s="1027"/>
      <c r="BP670" s="1027"/>
      <c r="BQ670" s="1027"/>
      <c r="BR670" s="1027"/>
      <c r="BS670" s="457"/>
    </row>
    <row r="671" spans="1:71" s="17" customFormat="1" ht="15">
      <c r="A671" s="821" t="s">
        <v>60</v>
      </c>
      <c r="B671" s="821"/>
      <c r="C671" s="845"/>
      <c r="D671" s="845"/>
      <c r="E671" s="845"/>
      <c r="F671" s="845"/>
      <c r="G671" s="845"/>
      <c r="H671" s="845"/>
      <c r="I671" s="845"/>
      <c r="J671" s="845"/>
      <c r="K671" s="845"/>
      <c r="L671" s="845"/>
      <c r="M671" s="845"/>
      <c r="N671" s="845"/>
      <c r="O671" s="845"/>
      <c r="P671" s="845"/>
      <c r="Q671" s="845"/>
      <c r="R671" s="845"/>
      <c r="S671" s="845"/>
      <c r="T671" s="845"/>
      <c r="U671" s="845"/>
      <c r="V671" s="845"/>
      <c r="W671" s="845"/>
      <c r="X671" s="845"/>
      <c r="Y671" s="845"/>
      <c r="Z671" s="845"/>
      <c r="AA671" s="845"/>
      <c r="AB671" s="845"/>
      <c r="AC671" s="845"/>
      <c r="AD671" s="845"/>
      <c r="AE671" s="845"/>
      <c r="AF671" s="845"/>
      <c r="AG671" s="845"/>
      <c r="AH671" s="845"/>
      <c r="AI671" s="845"/>
      <c r="AJ671" s="845"/>
      <c r="AK671" s="845"/>
      <c r="AL671" s="845"/>
      <c r="AM671" s="845"/>
      <c r="AN671" s="845"/>
      <c r="AO671" s="845"/>
      <c r="AP671" s="845"/>
      <c r="AQ671" s="845"/>
      <c r="AR671" s="845"/>
      <c r="AS671" s="845"/>
      <c r="AT671" s="845"/>
      <c r="AU671" s="845"/>
      <c r="AV671" s="845"/>
      <c r="AW671" s="845"/>
      <c r="AX671" s="845"/>
      <c r="AY671" s="845"/>
      <c r="AZ671" s="845"/>
      <c r="BA671" s="845"/>
      <c r="BB671" s="845"/>
      <c r="BC671" s="845"/>
      <c r="BD671" s="845"/>
      <c r="BE671" s="845"/>
      <c r="BF671" s="845"/>
      <c r="BG671" s="845"/>
      <c r="BH671" s="846"/>
      <c r="BI671" s="845"/>
      <c r="BJ671" s="845"/>
      <c r="BK671" s="845"/>
      <c r="BL671" s="845"/>
      <c r="BM671" s="845"/>
      <c r="BN671" s="845"/>
      <c r="BO671" s="845"/>
      <c r="BP671" s="845"/>
      <c r="BQ671" s="845"/>
      <c r="BR671" s="845"/>
      <c r="BS671" s="457"/>
    </row>
    <row r="672" spans="1:71" s="300" customFormat="1" ht="15">
      <c r="A672" s="304" t="s">
        <v>61</v>
      </c>
      <c r="B672" s="510"/>
      <c r="C672" s="992">
        <f t="shared" si="2046" ref="C672:AK672">C609+C610</f>
        <v>28152</v>
      </c>
      <c r="D672" s="992">
        <f t="shared" si="2046"/>
        <v>28125</v>
      </c>
      <c r="E672" s="992">
        <f t="shared" si="2046"/>
        <v>28180</v>
      </c>
      <c r="F672" s="992">
        <f t="shared" si="2046"/>
        <v>28978</v>
      </c>
      <c r="G672" s="992">
        <f t="shared" si="2046"/>
        <v>29970</v>
      </c>
      <c r="H672" s="116">
        <f t="shared" si="2046"/>
        <v>7671</v>
      </c>
      <c r="I672" s="116">
        <f t="shared" si="2046"/>
        <v>7722</v>
      </c>
      <c r="J672" s="116">
        <f t="shared" si="2046"/>
        <v>7819</v>
      </c>
      <c r="K672" s="116">
        <f t="shared" si="2046"/>
        <v>7874</v>
      </c>
      <c r="L672" s="992">
        <f t="shared" si="2046"/>
        <v>31086</v>
      </c>
      <c r="M672" s="116">
        <f t="shared" si="2046"/>
        <v>7963</v>
      </c>
      <c r="N672" s="116">
        <f t="shared" si="2046"/>
        <v>8085</v>
      </c>
      <c r="O672" s="116">
        <f t="shared" si="2046"/>
        <v>8188</v>
      </c>
      <c r="P672" s="116">
        <f t="shared" si="2046"/>
        <v>8231</v>
      </c>
      <c r="Q672" s="992">
        <f t="shared" si="2046"/>
        <v>32467</v>
      </c>
      <c r="R672" s="116">
        <f t="shared" si="2046"/>
        <v>8289</v>
      </c>
      <c r="S672" s="116">
        <f t="shared" si="2046"/>
        <v>8378</v>
      </c>
      <c r="T672" s="116">
        <f t="shared" si="2046"/>
        <v>8440</v>
      </c>
      <c r="U672" s="116">
        <f t="shared" si="2046"/>
        <v>8475</v>
      </c>
      <c r="V672" s="992">
        <f t="shared" si="2046"/>
        <v>33582</v>
      </c>
      <c r="W672" s="116">
        <f t="shared" si="2046"/>
        <v>8552</v>
      </c>
      <c r="X672" s="116">
        <f t="shared" si="2046"/>
        <v>8609</v>
      </c>
      <c r="Y672" s="116">
        <f t="shared" si="2046"/>
        <v>8714</v>
      </c>
      <c r="Z672" s="116">
        <f t="shared" si="2046"/>
        <v>8803</v>
      </c>
      <c r="AA672" s="992">
        <f t="shared" si="2046"/>
        <v>34678</v>
      </c>
      <c r="AB672" s="116">
        <f t="shared" si="2046"/>
        <v>8902</v>
      </c>
      <c r="AC672" s="116">
        <f t="shared" si="2046"/>
        <v>9072</v>
      </c>
      <c r="AD672" s="116">
        <f t="shared" si="2046"/>
        <v>9207</v>
      </c>
      <c r="AE672" s="116">
        <f t="shared" si="2046"/>
        <v>9332</v>
      </c>
      <c r="AF672" s="992">
        <f t="shared" si="2046"/>
        <v>36513</v>
      </c>
      <c r="AG672" s="116">
        <f t="shared" si="2046"/>
        <v>9430</v>
      </c>
      <c r="AH672" s="116">
        <f t="shared" si="2046"/>
        <v>9607</v>
      </c>
      <c r="AI672" s="116">
        <f t="shared" si="2046"/>
        <v>9719</v>
      </c>
      <c r="AJ672" s="116">
        <f t="shared" si="2046"/>
        <v>9821</v>
      </c>
      <c r="AK672" s="992">
        <f t="shared" si="2046"/>
        <v>38577</v>
      </c>
      <c r="AL672" s="116">
        <f>AL609+AL610</f>
        <v>9517</v>
      </c>
      <c r="AM672" s="116">
        <f>AM609+AM610</f>
        <v>9486</v>
      </c>
      <c r="AN672" s="116">
        <f>AN609+AN610</f>
        <v>9623</v>
      </c>
      <c r="AO672" s="116">
        <f t="shared" si="2047" ref="AO672:AQ672">AO609+AO610</f>
        <v>9541</v>
      </c>
      <c r="AP672" s="992">
        <f t="shared" si="2047"/>
        <v>38167</v>
      </c>
      <c r="AQ672" s="116">
        <f t="shared" si="2047"/>
        <v>10762</v>
      </c>
      <c r="AR672" s="116">
        <f t="shared" si="2048" ref="AR672:AW672">AR609+AR610</f>
        <v>10891</v>
      </c>
      <c r="AS672" s="116">
        <f t="shared" si="2048"/>
        <v>11075</v>
      </c>
      <c r="AT672" s="116">
        <f t="shared" si="2048"/>
        <v>11311</v>
      </c>
      <c r="AU672" s="992">
        <f t="shared" si="2048"/>
        <v>44039</v>
      </c>
      <c r="AV672" s="116">
        <f t="shared" si="2048"/>
        <v>11449</v>
      </c>
      <c r="AW672" s="116">
        <f t="shared" si="2048"/>
        <v>11827</v>
      </c>
      <c r="AX672" s="116">
        <f t="shared" si="2049" ref="AX672:BC672">AX609+AX610</f>
        <v>12124</v>
      </c>
      <c r="AY672" s="116">
        <f t="shared" si="2049"/>
        <v>12336</v>
      </c>
      <c r="AZ672" s="992">
        <f t="shared" si="2049"/>
        <v>47736</v>
      </c>
      <c r="BA672" s="116">
        <f t="shared" si="2049"/>
        <v>12636</v>
      </c>
      <c r="BB672" s="116">
        <f t="shared" si="2049"/>
        <v>12923</v>
      </c>
      <c r="BC672" s="116">
        <f t="shared" si="2049"/>
        <v>13302</v>
      </c>
      <c r="BD672" s="116">
        <f t="shared" si="2050" ref="BD672:BE672">BD609+BD610</f>
        <v>13655</v>
      </c>
      <c r="BE672" s="992">
        <f t="shared" si="2050"/>
        <v>52516</v>
      </c>
      <c r="BF672" s="116">
        <f>BF609+BF610</f>
        <v>13990</v>
      </c>
      <c r="BG672" s="116">
        <f>BG609+BG610</f>
        <v>14426</v>
      </c>
      <c r="BH672" s="741">
        <f>BH609+BH610</f>
        <v>14820</v>
      </c>
      <c r="BI672" s="239">
        <f>BI65+BI230+BI534+BI270+BI574</f>
        <v>14578.592999999999</v>
      </c>
      <c r="BJ672" s="994">
        <f>SUM(BF672,BG672,BH672,BI672)</f>
        <v>57814.593000000001</v>
      </c>
      <c r="BK672" s="239">
        <f>BK65+BK230+BK534+BK270+BK574</f>
        <v>15129.332</v>
      </c>
      <c r="BL672" s="239">
        <f>BL65+BL230+BL534+BL270+BL574</f>
        <v>16269.196000000002</v>
      </c>
      <c r="BM672" s="239">
        <f>BM65+BM230+BM534+BM270+BM574</f>
        <v>16720.427</v>
      </c>
      <c r="BN672" s="239">
        <f>BN65+BN230+BN534+BN270+BN574</f>
        <v>15729.26513</v>
      </c>
      <c r="BO672" s="994">
        <f>SUM(BK672,BL672,BM672,BN672)</f>
        <v>63848.220130000002</v>
      </c>
      <c r="BP672" s="994">
        <f>BP65+BP230+BP534+BP270+BP574</f>
        <v>64446.406465100008</v>
      </c>
      <c r="BQ672" s="994">
        <f>BQ65+BQ230+BQ534+BQ270+BQ574</f>
        <v>66227.612322443019</v>
      </c>
      <c r="BR672" s="994">
        <f>BR65+BR230+BR534+BR270+BR574</f>
        <v>68250.590990916302</v>
      </c>
      <c r="BS672" s="305"/>
    </row>
    <row r="673" spans="1:71" s="300" customFormat="1" ht="15">
      <c r="A673" s="304" t="s">
        <v>62</v>
      </c>
      <c r="B673" s="166"/>
      <c r="C673" s="993">
        <f t="shared" si="2051" ref="C673:AK673">C612</f>
        <v>4444</v>
      </c>
      <c r="D673" s="993">
        <f t="shared" si="2051"/>
        <v>4102</v>
      </c>
      <c r="E673" s="993">
        <f t="shared" si="2051"/>
        <v>3971</v>
      </c>
      <c r="F673" s="993">
        <f t="shared" si="2051"/>
        <v>4010</v>
      </c>
      <c r="G673" s="993">
        <f t="shared" si="2051"/>
        <v>3943</v>
      </c>
      <c r="H673" s="305">
        <f t="shared" si="2051"/>
        <v>959</v>
      </c>
      <c r="I673" s="305">
        <f t="shared" si="2051"/>
        <v>898</v>
      </c>
      <c r="J673" s="305">
        <f t="shared" si="2051"/>
        <v>823</v>
      </c>
      <c r="K673" s="305">
        <f t="shared" si="2051"/>
        <v>779</v>
      </c>
      <c r="L673" s="993">
        <f t="shared" si="2051"/>
        <v>3459</v>
      </c>
      <c r="M673" s="305">
        <f t="shared" si="2051"/>
        <v>850</v>
      </c>
      <c r="N673" s="305">
        <f t="shared" si="2051"/>
        <v>789</v>
      </c>
      <c r="O673" s="305">
        <f t="shared" si="2051"/>
        <v>807</v>
      </c>
      <c r="P673" s="305">
        <f t="shared" si="2051"/>
        <v>710</v>
      </c>
      <c r="Q673" s="993">
        <f t="shared" si="2051"/>
        <v>3156</v>
      </c>
      <c r="R673" s="305">
        <f t="shared" si="2051"/>
        <v>731</v>
      </c>
      <c r="S673" s="133">
        <f t="shared" si="2051"/>
        <v>762</v>
      </c>
      <c r="T673" s="305">
        <f t="shared" si="2051"/>
        <v>748</v>
      </c>
      <c r="U673" s="305">
        <f t="shared" si="2051"/>
        <v>801</v>
      </c>
      <c r="V673" s="993">
        <f t="shared" si="2051"/>
        <v>3042</v>
      </c>
      <c r="W673" s="305">
        <f t="shared" si="2051"/>
        <v>748</v>
      </c>
      <c r="X673" s="133">
        <f t="shared" si="2051"/>
        <v>897</v>
      </c>
      <c r="Y673" s="305">
        <f t="shared" si="2051"/>
        <v>843</v>
      </c>
      <c r="Z673" s="305">
        <f t="shared" si="2051"/>
        <v>913</v>
      </c>
      <c r="AA673" s="993">
        <f t="shared" si="2051"/>
        <v>3401</v>
      </c>
      <c r="AB673" s="305">
        <f t="shared" si="2051"/>
        <v>786</v>
      </c>
      <c r="AC673" s="133">
        <f t="shared" si="2051"/>
        <v>824</v>
      </c>
      <c r="AD673" s="305">
        <f t="shared" si="2051"/>
        <v>844</v>
      </c>
      <c r="AE673" s="305">
        <f t="shared" si="2051"/>
        <v>786</v>
      </c>
      <c r="AF673" s="993">
        <f t="shared" si="2051"/>
        <v>3240</v>
      </c>
      <c r="AG673" s="305">
        <f t="shared" si="2051"/>
        <v>648</v>
      </c>
      <c r="AH673" s="133">
        <f t="shared" si="2051"/>
        <v>942</v>
      </c>
      <c r="AI673" s="305">
        <f t="shared" si="2051"/>
        <v>880</v>
      </c>
      <c r="AJ673" s="305">
        <f t="shared" si="2051"/>
        <v>689</v>
      </c>
      <c r="AK673" s="993">
        <f t="shared" si="2051"/>
        <v>3159</v>
      </c>
      <c r="AL673" s="305">
        <f>AL612</f>
        <v>246</v>
      </c>
      <c r="AM673" s="133">
        <f>AM612</f>
        <v>220</v>
      </c>
      <c r="AN673" s="305">
        <f>AN612</f>
        <v>464</v>
      </c>
      <c r="AO673" s="305">
        <f t="shared" si="2052" ref="AO673:AP673">AO612</f>
        <v>660</v>
      </c>
      <c r="AP673" s="993">
        <f t="shared" si="2052"/>
        <v>1590</v>
      </c>
      <c r="AQ673" s="305">
        <f t="shared" si="2053" ref="AQ673:AV673">AQ612</f>
        <v>708</v>
      </c>
      <c r="AR673" s="133">
        <f t="shared" si="2053"/>
        <v>974</v>
      </c>
      <c r="AS673" s="305">
        <f t="shared" si="2053"/>
        <v>764</v>
      </c>
      <c r="AT673" s="305">
        <f t="shared" si="2053"/>
        <v>847</v>
      </c>
      <c r="AU673" s="993">
        <f t="shared" si="2053"/>
        <v>3293</v>
      </c>
      <c r="AV673" s="305">
        <f t="shared" si="2053"/>
        <v>594</v>
      </c>
      <c r="AW673" s="133">
        <f t="shared" si="2054" ref="AW673:BB673">AW612</f>
        <v>562</v>
      </c>
      <c r="AX673" s="305">
        <f t="shared" si="2054"/>
        <v>690</v>
      </c>
      <c r="AY673" s="305">
        <f t="shared" si="2054"/>
        <v>557</v>
      </c>
      <c r="AZ673" s="993">
        <f t="shared" si="2054"/>
        <v>2403</v>
      </c>
      <c r="BA673" s="305">
        <f t="shared" si="2054"/>
        <v>575</v>
      </c>
      <c r="BB673" s="133">
        <f t="shared" si="2054"/>
        <v>610</v>
      </c>
      <c r="BC673" s="305">
        <f>BC612</f>
        <v>689</v>
      </c>
      <c r="BD673" s="305">
        <f t="shared" si="2055" ref="BD673:BE673">BD612</f>
        <v>604</v>
      </c>
      <c r="BE673" s="993">
        <f t="shared" si="2055"/>
        <v>2478</v>
      </c>
      <c r="BF673" s="305">
        <f>BF612</f>
        <v>764</v>
      </c>
      <c r="BG673" s="133">
        <f>BG612</f>
        <v>712</v>
      </c>
      <c r="BH673" s="743">
        <f>BH612</f>
        <v>783</v>
      </c>
      <c r="BI673" s="92">
        <f>BI366</f>
        <v>651.73806972677585</v>
      </c>
      <c r="BJ673" s="1004">
        <f>SUM(BF673,BG673,BH673,BI673)</f>
        <v>2910.7380697267758</v>
      </c>
      <c r="BK673" s="92">
        <f>BK366</f>
        <v>616.86650835616433</v>
      </c>
      <c r="BL673" s="92">
        <f>BL366</f>
        <v>640.07192689041096</v>
      </c>
      <c r="BM673" s="92">
        <f>BM366</f>
        <v>661.17964016438361</v>
      </c>
      <c r="BN673" s="92">
        <f>BN366</f>
        <v>634.88533446136989</v>
      </c>
      <c r="BO673" s="1004">
        <f>SUM(BK673,BL673,BM673,BN673)</f>
        <v>2553.003409872329</v>
      </c>
      <c r="BP673" s="1004">
        <f>BP366</f>
        <v>2353.7553568439998</v>
      </c>
      <c r="BQ673" s="1004">
        <f>BQ366</f>
        <v>2381.6766859792801</v>
      </c>
      <c r="BR673" s="1004">
        <f>BR366</f>
        <v>2411.3505328736496</v>
      </c>
      <c r="BS673" s="305"/>
    </row>
    <row r="674" spans="1:71" s="300" customFormat="1" ht="15">
      <c r="A674" s="304" t="s">
        <v>63</v>
      </c>
      <c r="B674" s="166"/>
      <c r="C674" s="993">
        <f t="shared" si="2056" ref="C674:AK674">C617</f>
        <v>-583</v>
      </c>
      <c r="D674" s="993">
        <f t="shared" si="2056"/>
        <v>-827</v>
      </c>
      <c r="E674" s="993">
        <f t="shared" si="2056"/>
        <v>503</v>
      </c>
      <c r="F674" s="993">
        <f t="shared" si="2056"/>
        <v>327</v>
      </c>
      <c r="G674" s="993">
        <f t="shared" si="2056"/>
        <v>594</v>
      </c>
      <c r="H674" s="305">
        <f t="shared" si="2056"/>
        <v>54</v>
      </c>
      <c r="I674" s="305">
        <f t="shared" si="2056"/>
        <v>240</v>
      </c>
      <c r="J674" s="305">
        <f t="shared" si="2056"/>
        <v>294</v>
      </c>
      <c r="K674" s="305">
        <f t="shared" si="2056"/>
        <v>106</v>
      </c>
      <c r="L674" s="993">
        <f t="shared" si="2056"/>
        <v>694</v>
      </c>
      <c r="M674" s="305">
        <f t="shared" si="2056"/>
        <v>139</v>
      </c>
      <c r="N674" s="305">
        <f t="shared" si="2056"/>
        <v>108</v>
      </c>
      <c r="O674" s="305">
        <f t="shared" si="2056"/>
        <v>33</v>
      </c>
      <c r="P674" s="305">
        <f t="shared" si="2056"/>
        <v>-250</v>
      </c>
      <c r="Q674" s="993">
        <f t="shared" si="2056"/>
        <v>30</v>
      </c>
      <c r="R674" s="305">
        <f t="shared" si="2056"/>
        <v>-149</v>
      </c>
      <c r="S674" s="133">
        <f t="shared" si="2056"/>
        <v>24</v>
      </c>
      <c r="T674" s="305">
        <f t="shared" si="2056"/>
        <v>33</v>
      </c>
      <c r="U674" s="305">
        <f t="shared" si="2056"/>
        <v>2</v>
      </c>
      <c r="V674" s="993">
        <f t="shared" si="2056"/>
        <v>-90</v>
      </c>
      <c r="W674" s="305">
        <f t="shared" si="2056"/>
        <v>134</v>
      </c>
      <c r="X674" s="133">
        <f t="shared" si="2056"/>
        <v>81</v>
      </c>
      <c r="Y674" s="305">
        <f t="shared" si="2056"/>
        <v>103</v>
      </c>
      <c r="Z674" s="305">
        <f t="shared" si="2056"/>
        <v>127</v>
      </c>
      <c r="AA674" s="993">
        <f t="shared" si="2056"/>
        <v>445</v>
      </c>
      <c r="AB674" s="305">
        <f t="shared" si="2056"/>
        <v>-134</v>
      </c>
      <c r="AC674" s="133">
        <f t="shared" si="2056"/>
        <v>-25</v>
      </c>
      <c r="AD674" s="305">
        <f t="shared" si="2056"/>
        <v>176</v>
      </c>
      <c r="AE674" s="305">
        <f t="shared" si="2056"/>
        <v>-894</v>
      </c>
      <c r="AF674" s="993">
        <f t="shared" si="2056"/>
        <v>-877</v>
      </c>
      <c r="AG674" s="305">
        <f t="shared" si="2056"/>
        <v>662</v>
      </c>
      <c r="AH674" s="133">
        <f t="shared" si="2056"/>
        <v>324</v>
      </c>
      <c r="AI674" s="305">
        <f t="shared" si="2056"/>
        <v>197</v>
      </c>
      <c r="AJ674" s="305">
        <f t="shared" si="2056"/>
        <v>702</v>
      </c>
      <c r="AK674" s="993">
        <f t="shared" si="2056"/>
        <v>1885</v>
      </c>
      <c r="AL674" s="305">
        <f>AL617</f>
        <v>-162</v>
      </c>
      <c r="AM674" s="133">
        <f>AM617</f>
        <v>440</v>
      </c>
      <c r="AN674" s="305">
        <f>AN617</f>
        <v>319</v>
      </c>
      <c r="AO674" s="305">
        <f t="shared" si="2057" ref="AO674:AP674">AO617</f>
        <v>490</v>
      </c>
      <c r="AP674" s="993">
        <f t="shared" si="2057"/>
        <v>1087</v>
      </c>
      <c r="AQ674" s="305">
        <f t="shared" si="2058" ref="AQ674:AV674">AQ617</f>
        <v>426</v>
      </c>
      <c r="AR674" s="133">
        <f t="shared" si="2058"/>
        <v>287</v>
      </c>
      <c r="AS674" s="305">
        <f t="shared" si="2058"/>
        <v>105</v>
      </c>
      <c r="AT674" s="305">
        <f t="shared" si="2058"/>
        <v>266</v>
      </c>
      <c r="AU674" s="993">
        <f t="shared" si="2058"/>
        <v>1084</v>
      </c>
      <c r="AV674" s="305">
        <f t="shared" si="2058"/>
        <v>-267</v>
      </c>
      <c r="AW674" s="133">
        <f t="shared" si="2059" ref="AW674:BB674">AW617</f>
        <v>-733</v>
      </c>
      <c r="AX674" s="305">
        <f t="shared" si="2059"/>
        <v>-167</v>
      </c>
      <c r="AY674" s="305">
        <f t="shared" si="2059"/>
        <v>95</v>
      </c>
      <c r="AZ674" s="993">
        <f t="shared" si="2059"/>
        <v>-1072</v>
      </c>
      <c r="BA674" s="305">
        <f t="shared" si="2059"/>
        <v>14</v>
      </c>
      <c r="BB674" s="133">
        <f t="shared" si="2059"/>
        <v>-151</v>
      </c>
      <c r="BC674" s="305">
        <f>BC617</f>
        <v>-86</v>
      </c>
      <c r="BD674" s="305">
        <f t="shared" si="2060" ref="BD674:BE674">BD617</f>
        <v>-77</v>
      </c>
      <c r="BE674" s="993">
        <f t="shared" si="2060"/>
        <v>-300</v>
      </c>
      <c r="BF674" s="305">
        <f>BF617</f>
        <v>-164</v>
      </c>
      <c r="BG674" s="133">
        <f>BG617</f>
        <v>-103</v>
      </c>
      <c r="BH674" s="743">
        <f>BH617</f>
        <v>243</v>
      </c>
      <c r="BI674" s="92">
        <f>BI368</f>
        <v>57</v>
      </c>
      <c r="BJ674" s="1004">
        <f>SUM(BF674,BG674,BH674,BI674)</f>
        <v>33</v>
      </c>
      <c r="BK674" s="92">
        <f>BK368</f>
        <v>57</v>
      </c>
      <c r="BL674" s="92">
        <f>BL368</f>
        <v>57</v>
      </c>
      <c r="BM674" s="92">
        <f>BM368</f>
        <v>57</v>
      </c>
      <c r="BN674" s="92">
        <f>BN368</f>
        <v>57</v>
      </c>
      <c r="BO674" s="1004">
        <f>SUM(BK674,BL674,BM674,BN674)</f>
        <v>228</v>
      </c>
      <c r="BP674" s="1004">
        <f>BP368</f>
        <v>228</v>
      </c>
      <c r="BQ674" s="1004">
        <f>BQ368</f>
        <v>228</v>
      </c>
      <c r="BR674" s="1004">
        <f>BR368</f>
        <v>228</v>
      </c>
      <c r="BS674" s="305"/>
    </row>
    <row r="675" spans="1:71" s="300" customFormat="1" ht="15">
      <c r="A675" s="110" t="s">
        <v>64</v>
      </c>
      <c r="B675" s="395"/>
      <c r="C675" s="995"/>
      <c r="D675" s="995"/>
      <c r="E675" s="995"/>
      <c r="F675" s="995"/>
      <c r="G675" s="995"/>
      <c r="H675" s="115"/>
      <c r="I675" s="115"/>
      <c r="J675" s="115"/>
      <c r="K675" s="115"/>
      <c r="L675" s="995"/>
      <c r="M675" s="115"/>
      <c r="N675" s="115"/>
      <c r="O675" s="115"/>
      <c r="P675" s="115"/>
      <c r="Q675" s="995"/>
      <c r="R675" s="115"/>
      <c r="S675" s="115"/>
      <c r="T675" s="115"/>
      <c r="U675" s="115"/>
      <c r="V675" s="995"/>
      <c r="W675" s="115"/>
      <c r="X675" s="115"/>
      <c r="Y675" s="115"/>
      <c r="Z675" s="115"/>
      <c r="AA675" s="995"/>
      <c r="AB675" s="58">
        <f t="shared" si="2061" ref="AB675:AK675">AB611</f>
        <v>216</v>
      </c>
      <c r="AC675" s="58">
        <f t="shared" si="2061"/>
        <v>228</v>
      </c>
      <c r="AD675" s="58">
        <f t="shared" si="2061"/>
        <v>238</v>
      </c>
      <c r="AE675" s="58">
        <f t="shared" si="2061"/>
        <v>257</v>
      </c>
      <c r="AF675" s="998">
        <f t="shared" si="2061"/>
        <v>939</v>
      </c>
      <c r="AG675" s="58">
        <f t="shared" si="2061"/>
        <v>250</v>
      </c>
      <c r="AH675" s="58">
        <f t="shared" si="2061"/>
        <v>271</v>
      </c>
      <c r="AI675" s="58">
        <f t="shared" si="2061"/>
        <v>273</v>
      </c>
      <c r="AJ675" s="58">
        <f t="shared" si="2061"/>
        <v>260</v>
      </c>
      <c r="AK675" s="998">
        <f t="shared" si="2061"/>
        <v>1054</v>
      </c>
      <c r="AL675" s="58">
        <f>AL611</f>
        <v>265</v>
      </c>
      <c r="AM675" s="58">
        <f>AM611</f>
        <v>257</v>
      </c>
      <c r="AN675" s="58">
        <f>AN611</f>
        <v>272</v>
      </c>
      <c r="AO675" s="58">
        <f t="shared" si="2062" ref="AO675:AP675">AO611</f>
        <v>271</v>
      </c>
      <c r="AP675" s="998">
        <f t="shared" si="2062"/>
        <v>1065</v>
      </c>
      <c r="AQ675" s="58">
        <f t="shared" si="2063" ref="AQ675:AV675">AQ611</f>
        <v>555</v>
      </c>
      <c r="AR675" s="58">
        <f t="shared" si="2063"/>
        <v>494</v>
      </c>
      <c r="AS675" s="58">
        <f t="shared" si="2063"/>
        <v>536</v>
      </c>
      <c r="AT675" s="58">
        <f t="shared" si="2063"/>
        <v>587</v>
      </c>
      <c r="AU675" s="998">
        <f t="shared" si="2063"/>
        <v>2172</v>
      </c>
      <c r="AV675" s="58">
        <f t="shared" si="2063"/>
        <v>560</v>
      </c>
      <c r="AW675" s="58">
        <f t="shared" si="2064" ref="AW675:BB675">AW611</f>
        <v>563</v>
      </c>
      <c r="AX675" s="58">
        <f t="shared" si="2064"/>
        <v>561</v>
      </c>
      <c r="AY675" s="58">
        <f t="shared" si="2064"/>
        <v>660</v>
      </c>
      <c r="AZ675" s="998">
        <f t="shared" si="2064"/>
        <v>2344</v>
      </c>
      <c r="BA675" s="58">
        <f t="shared" si="2064"/>
        <v>561</v>
      </c>
      <c r="BB675" s="58">
        <f t="shared" si="2064"/>
        <v>597</v>
      </c>
      <c r="BC675" s="58">
        <f>BC611</f>
        <v>592</v>
      </c>
      <c r="BD675" s="58">
        <f t="shared" si="2065" ref="BD675:BE675">BD611</f>
        <v>650</v>
      </c>
      <c r="BE675" s="998">
        <f t="shared" si="2065"/>
        <v>2400</v>
      </c>
      <c r="BF675" s="58">
        <f>BF611</f>
        <v>669</v>
      </c>
      <c r="BG675" s="58">
        <f>BG611</f>
        <v>679</v>
      </c>
      <c r="BH675" s="744">
        <f>BH611</f>
        <v>781</v>
      </c>
      <c r="BI675" s="115">
        <f>BI36+BI186+BI231+BI232+BI272+BI308</f>
        <v>250.39999999999998</v>
      </c>
      <c r="BJ675" s="995">
        <f>SUM(BF675,BG675,BH675,BI675)</f>
        <v>2379.40</v>
      </c>
      <c r="BK675" s="115">
        <f>BK36+BK186+BK231+BK232+BK272+BK308</f>
        <v>185</v>
      </c>
      <c r="BL675" s="115">
        <f>BL36+BL186+BL231+BL232+BL272+BL308</f>
        <v>202.85000000000002</v>
      </c>
      <c r="BM675" s="115">
        <f>BM36+BM186+BM231+BM232+BM272+BM308</f>
        <v>225.95</v>
      </c>
      <c r="BN675" s="115">
        <f>BN36+BN186+BN231+BN232+BN272+BN308</f>
        <v>217.97</v>
      </c>
      <c r="BO675" s="995">
        <f>SUM(BK675,BL675,BM675,BN675)</f>
        <v>831.77</v>
      </c>
      <c r="BP675" s="995">
        <f>BP36+BP186+BP231+BP232+BP272+BP308</f>
        <v>861.55850000000009</v>
      </c>
      <c r="BQ675" s="995">
        <f>BQ36+BQ186+BQ231+BQ232+BQ272+BQ308</f>
        <v>892.83642500000008</v>
      </c>
      <c r="BR675" s="995">
        <f>BR36+BR186+BR231+BR232+BR272+BR308</f>
        <v>925.67824625000003</v>
      </c>
      <c r="BS675" s="305"/>
    </row>
    <row r="676" spans="1:71" s="51" customFormat="1" ht="15">
      <c r="A676" s="87" t="s">
        <v>65</v>
      </c>
      <c r="B676" s="506"/>
      <c r="C676" s="996">
        <f t="shared" si="2066" ref="C676:AK676">C672+C673+C674+C675</f>
        <v>32013</v>
      </c>
      <c r="D676" s="996">
        <f t="shared" si="2066"/>
        <v>31400</v>
      </c>
      <c r="E676" s="996">
        <f t="shared" si="2066"/>
        <v>32654</v>
      </c>
      <c r="F676" s="996">
        <f t="shared" si="2066"/>
        <v>33315</v>
      </c>
      <c r="G676" s="996">
        <f t="shared" si="2066"/>
        <v>34507</v>
      </c>
      <c r="H676" s="89">
        <f t="shared" si="2066"/>
        <v>8684</v>
      </c>
      <c r="I676" s="89">
        <f t="shared" si="2066"/>
        <v>8860</v>
      </c>
      <c r="J676" s="89">
        <f t="shared" si="2066"/>
        <v>8936</v>
      </c>
      <c r="K676" s="89">
        <f t="shared" si="2066"/>
        <v>8759</v>
      </c>
      <c r="L676" s="996">
        <f t="shared" si="2066"/>
        <v>35239</v>
      </c>
      <c r="M676" s="89">
        <f t="shared" si="2066"/>
        <v>8952</v>
      </c>
      <c r="N676" s="89">
        <f t="shared" si="2066"/>
        <v>8982</v>
      </c>
      <c r="O676" s="89">
        <f t="shared" si="2066"/>
        <v>9028</v>
      </c>
      <c r="P676" s="89">
        <f t="shared" si="2066"/>
        <v>8691</v>
      </c>
      <c r="Q676" s="996">
        <f t="shared" si="2066"/>
        <v>35653</v>
      </c>
      <c r="R676" s="89">
        <f t="shared" si="2066"/>
        <v>8871</v>
      </c>
      <c r="S676" s="89">
        <f t="shared" si="2066"/>
        <v>9164</v>
      </c>
      <c r="T676" s="89">
        <f t="shared" si="2066"/>
        <v>9221</v>
      </c>
      <c r="U676" s="89">
        <f t="shared" si="2066"/>
        <v>9278</v>
      </c>
      <c r="V676" s="996">
        <f t="shared" si="2066"/>
        <v>36534</v>
      </c>
      <c r="W676" s="89">
        <f t="shared" si="2066"/>
        <v>9434</v>
      </c>
      <c r="X676" s="89">
        <f t="shared" si="2066"/>
        <v>9587</v>
      </c>
      <c r="Y676" s="89">
        <f t="shared" si="2066"/>
        <v>9660</v>
      </c>
      <c r="Z676" s="89">
        <f t="shared" si="2066"/>
        <v>9843</v>
      </c>
      <c r="AA676" s="996">
        <f t="shared" si="2066"/>
        <v>38524</v>
      </c>
      <c r="AB676" s="89">
        <f t="shared" si="2066"/>
        <v>9770</v>
      </c>
      <c r="AC676" s="89">
        <f t="shared" si="2066"/>
        <v>10099</v>
      </c>
      <c r="AD676" s="89">
        <f t="shared" si="2066"/>
        <v>10465</v>
      </c>
      <c r="AE676" s="89">
        <f t="shared" si="2066"/>
        <v>9481</v>
      </c>
      <c r="AF676" s="996">
        <f t="shared" si="2066"/>
        <v>39815</v>
      </c>
      <c r="AG676" s="89">
        <f t="shared" si="2066"/>
        <v>10990</v>
      </c>
      <c r="AH676" s="89">
        <f t="shared" si="2066"/>
        <v>11144</v>
      </c>
      <c r="AI676" s="89">
        <f t="shared" si="2066"/>
        <v>11069</v>
      </c>
      <c r="AJ676" s="89">
        <f t="shared" si="2066"/>
        <v>11472</v>
      </c>
      <c r="AK676" s="996">
        <f t="shared" si="2066"/>
        <v>44675</v>
      </c>
      <c r="AL676" s="89">
        <f>AL672+AL673+AL674+AL675</f>
        <v>9866</v>
      </c>
      <c r="AM676" s="89">
        <f>AM672+AM673+AM674+AM675</f>
        <v>10403</v>
      </c>
      <c r="AN676" s="89">
        <f>AN672+AN673+AN674+AN675</f>
        <v>10678</v>
      </c>
      <c r="AO676" s="89">
        <f t="shared" si="2067" ref="AO676:AP676">AO672+AO673+AO674+AO675</f>
        <v>10962</v>
      </c>
      <c r="AP676" s="996">
        <f t="shared" si="2067"/>
        <v>41909</v>
      </c>
      <c r="AQ676" s="89">
        <f t="shared" si="2068" ref="AQ676:AV676">AQ672+AQ673+AQ674+AQ675</f>
        <v>12451</v>
      </c>
      <c r="AR676" s="89">
        <f t="shared" si="2068"/>
        <v>12646</v>
      </c>
      <c r="AS676" s="89">
        <f t="shared" si="2068"/>
        <v>12480</v>
      </c>
      <c r="AT676" s="89">
        <f t="shared" si="2068"/>
        <v>13011</v>
      </c>
      <c r="AU676" s="996">
        <f t="shared" si="2068"/>
        <v>50588</v>
      </c>
      <c r="AV676" s="89">
        <f t="shared" si="2068"/>
        <v>12336</v>
      </c>
      <c r="AW676" s="89">
        <f t="shared" si="2069" ref="AW676:BJ676">AW672+AW673+AW674+AW675</f>
        <v>12219</v>
      </c>
      <c r="AX676" s="89">
        <f t="shared" si="2069"/>
        <v>13208</v>
      </c>
      <c r="AY676" s="89">
        <f t="shared" si="2069"/>
        <v>13648</v>
      </c>
      <c r="AZ676" s="996">
        <f t="shared" si="2069"/>
        <v>51411</v>
      </c>
      <c r="BA676" s="89">
        <f t="shared" si="2070" ref="BA676:BI676">BA672+BA673+BA674+BA675</f>
        <v>13786</v>
      </c>
      <c r="BB676" s="89">
        <f t="shared" si="2070"/>
        <v>13979</v>
      </c>
      <c r="BC676" s="89">
        <f t="shared" si="2070"/>
        <v>14497</v>
      </c>
      <c r="BD676" s="89">
        <f t="shared" si="2070"/>
        <v>14832</v>
      </c>
      <c r="BE676" s="996">
        <f t="shared" si="2070"/>
        <v>57094</v>
      </c>
      <c r="BF676" s="89">
        <f>BF672+BF673+BF674+BF675</f>
        <v>15259</v>
      </c>
      <c r="BG676" s="89">
        <f>BG672+BG673+BG674+BG675</f>
        <v>15714</v>
      </c>
      <c r="BH676" s="742">
        <f>BH672+BH673+BH674+BH675</f>
        <v>16627</v>
      </c>
      <c r="BI676" s="90">
        <f t="shared" si="2070"/>
        <v>15537.731069726775</v>
      </c>
      <c r="BJ676" s="997">
        <f t="shared" si="2069"/>
        <v>63137.731069726775</v>
      </c>
      <c r="BK676" s="90">
        <f t="shared" si="2071" ref="BK676:BR676">BK672+BK673+BK674+BK675</f>
        <v>15988.198508356165</v>
      </c>
      <c r="BL676" s="90">
        <f t="shared" si="2071"/>
        <v>17169.117926890412</v>
      </c>
      <c r="BM676" s="90">
        <f t="shared" si="2071"/>
        <v>17664.556640164385</v>
      </c>
      <c r="BN676" s="90">
        <f t="shared" si="2071"/>
        <v>16639.120464461372</v>
      </c>
      <c r="BO676" s="997">
        <f t="shared" si="2071"/>
        <v>67460.993539872332</v>
      </c>
      <c r="BP676" s="997">
        <f t="shared" si="2071"/>
        <v>67889.720321944013</v>
      </c>
      <c r="BQ676" s="997">
        <f t="shared" si="2071"/>
        <v>69730.125433422305</v>
      </c>
      <c r="BR676" s="997">
        <f t="shared" si="2071"/>
        <v>71815.61977003995</v>
      </c>
      <c r="BS676" s="57"/>
    </row>
    <row r="677" spans="1:71" s="205" customFormat="1" ht="15">
      <c r="A677" s="201" t="str">
        <f>CONCATENATE("Consensus Estimates - ",IFERROR(LEFT(A676,FIND("(",A676)-1),A676))</f>
        <v>Consensus Estimates - Net Revenue</v>
      </c>
      <c r="B677" s="229"/>
      <c r="C677" s="1001"/>
      <c r="D677" s="1001"/>
      <c r="E677" s="1001"/>
      <c r="F677" s="1001"/>
      <c r="G677" s="1001"/>
      <c r="H677" s="203"/>
      <c r="I677" s="203"/>
      <c r="J677" s="203"/>
      <c r="K677" s="203"/>
      <c r="L677" s="1001"/>
      <c r="M677" s="203"/>
      <c r="N677" s="203"/>
      <c r="O677" s="203"/>
      <c r="P677" s="203"/>
      <c r="Q677" s="1001"/>
      <c r="R677" s="203"/>
      <c r="S677" s="204"/>
      <c r="T677" s="203"/>
      <c r="U677" s="203"/>
      <c r="V677" s="1001"/>
      <c r="W677" s="203"/>
      <c r="X677" s="204"/>
      <c r="Y677" s="203"/>
      <c r="Z677" s="203"/>
      <c r="AA677" s="1001"/>
      <c r="AB677" s="203"/>
      <c r="AC677" s="204"/>
      <c r="AD677" s="203"/>
      <c r="AE677" s="203"/>
      <c r="AF677" s="1001"/>
      <c r="AG677" s="203"/>
      <c r="AH677" s="204"/>
      <c r="AI677" s="203"/>
      <c r="AJ677" s="203"/>
      <c r="AK677" s="1001"/>
      <c r="AL677" s="203"/>
      <c r="AM677" s="204"/>
      <c r="AN677" s="203"/>
      <c r="AO677" s="203"/>
      <c r="AP677" s="1001"/>
      <c r="AQ677" s="203"/>
      <c r="AR677" s="204"/>
      <c r="AS677" s="203"/>
      <c r="AT677" s="203"/>
      <c r="AU677" s="1001"/>
      <c r="AV677" s="203"/>
      <c r="AW677" s="204"/>
      <c r="AX677" s="203"/>
      <c r="AY677" s="203"/>
      <c r="AZ677" s="1001"/>
      <c r="BA677" s="203"/>
      <c r="BB677" s="204"/>
      <c r="BC677" s="203"/>
      <c r="BD677" s="203"/>
      <c r="BE677" s="1001"/>
      <c r="BF677" s="203"/>
      <c r="BG677" s="204"/>
      <c r="BH677" s="746"/>
      <c r="BI677" s="249" t="str">
        <f ca="1" t="shared" si="2072" ref="BI677:BO677">IFERROR(VLOOKUP($A677,tb_ConsensusEstimate,MATCH(BI$5,OFFSET(tb_ConsensusEstimate,0,0,1,COLUMNS(tb_ConsensusEstimate)),0),FALSE),"-")</f>
        <v>N/A</v>
      </c>
      <c r="BJ677" s="1002" t="str">
        <f t="shared" ca="1" si="2072"/>
        <v>N/A</v>
      </c>
      <c r="BK677" s="249" t="str">
        <f t="shared" ca="1" si="2072"/>
        <v>N/A</v>
      </c>
      <c r="BL677" s="249" t="str">
        <f t="shared" ca="1" si="2072"/>
        <v>N/A</v>
      </c>
      <c r="BM677" s="249" t="str">
        <f t="shared" ca="1" si="2072"/>
        <v>N/A</v>
      </c>
      <c r="BN677" s="249" t="str">
        <f t="shared" ca="1" si="2072"/>
        <v>N/A</v>
      </c>
      <c r="BO677" s="1002" t="str">
        <f t="shared" ca="1" si="2072"/>
        <v>N/A</v>
      </c>
      <c r="BP677" s="1002" t="str">
        <f ca="1">IFERROR(VLOOKUP($A677,tb_ConsensusEstimate,MATCH(BP5,OFFSET(tb_ConsensusEstimate,0,0,1,COLUMNS(tb_ConsensusEstimate)),0),FALSE),"-")</f>
        <v>N/A</v>
      </c>
      <c r="BQ677" s="1002" t="str">
        <f ca="1">IFERROR(VLOOKUP($A677,tb_ConsensusEstimate,MATCH(BQ5,OFFSET(tb_ConsensusEstimate,0,0,1,COLUMNS(tb_ConsensusEstimate)),0),FALSE),"-")</f>
        <v>N/A</v>
      </c>
      <c r="BR677" s="1002" t="str">
        <f ca="1">IFERROR(VLOOKUP($A677,tb_ConsensusEstimate,MATCH(BR5,OFFSET(tb_ConsensusEstimate,0,0,1,COLUMNS(tb_ConsensusEstimate)),0),FALSE),"-")</f>
        <v>N/A</v>
      </c>
      <c r="BS677" s="203"/>
    </row>
    <row r="678" spans="1:71" s="51" customFormat="1" ht="15">
      <c r="A678" s="480"/>
      <c r="B678" s="483"/>
      <c r="C678" s="1000"/>
      <c r="D678" s="1000"/>
      <c r="E678" s="1000"/>
      <c r="F678" s="1000"/>
      <c r="G678" s="1000"/>
      <c r="H678" s="128"/>
      <c r="I678" s="128"/>
      <c r="J678" s="128"/>
      <c r="K678" s="128"/>
      <c r="L678" s="1000"/>
      <c r="M678" s="128"/>
      <c r="N678" s="128"/>
      <c r="O678" s="128"/>
      <c r="P678" s="128"/>
      <c r="Q678" s="1000"/>
      <c r="R678" s="128"/>
      <c r="S678" s="128"/>
      <c r="T678" s="128"/>
      <c r="U678" s="128"/>
      <c r="V678" s="1000"/>
      <c r="W678" s="128"/>
      <c r="X678" s="128"/>
      <c r="Y678" s="128"/>
      <c r="Z678" s="128"/>
      <c r="AA678" s="1000"/>
      <c r="AB678" s="128"/>
      <c r="AC678" s="128"/>
      <c r="AD678" s="128"/>
      <c r="AE678" s="128"/>
      <c r="AF678" s="1000"/>
      <c r="AG678" s="128"/>
      <c r="AH678" s="128"/>
      <c r="AI678" s="128"/>
      <c r="AJ678" s="128"/>
      <c r="AK678" s="1000"/>
      <c r="AL678" s="128"/>
      <c r="AM678" s="128"/>
      <c r="AN678" s="128"/>
      <c r="AO678" s="128"/>
      <c r="AP678" s="1000"/>
      <c r="AQ678" s="128"/>
      <c r="AR678" s="128"/>
      <c r="AS678" s="128"/>
      <c r="AT678" s="128"/>
      <c r="AU678" s="1000"/>
      <c r="AV678" s="128"/>
      <c r="AW678" s="128"/>
      <c r="AX678" s="128"/>
      <c r="AY678" s="128"/>
      <c r="AZ678" s="1000"/>
      <c r="BA678" s="128"/>
      <c r="BB678" s="128"/>
      <c r="BC678" s="128"/>
      <c r="BD678" s="128"/>
      <c r="BE678" s="1000"/>
      <c r="BF678" s="128"/>
      <c r="BG678" s="128"/>
      <c r="BH678" s="465"/>
      <c r="BI678" s="128"/>
      <c r="BJ678" s="1000"/>
      <c r="BK678" s="128"/>
      <c r="BL678" s="128"/>
      <c r="BM678" s="128"/>
      <c r="BN678" s="128"/>
      <c r="BO678" s="1000"/>
      <c r="BP678" s="1000"/>
      <c r="BQ678" s="1000"/>
      <c r="BR678" s="1000"/>
      <c r="BS678" s="57"/>
    </row>
    <row r="679" spans="1:71" s="300" customFormat="1" ht="15">
      <c r="A679" s="304" t="s">
        <v>66</v>
      </c>
      <c r="B679" s="166"/>
      <c r="C679" s="993">
        <f t="shared" si="2073" ref="C679:AK679">C619+C621</f>
        <v>20363</v>
      </c>
      <c r="D679" s="993">
        <f t="shared" si="2073"/>
        <v>20766</v>
      </c>
      <c r="E679" s="993">
        <f t="shared" si="2073"/>
        <v>21922</v>
      </c>
      <c r="F679" s="993">
        <f t="shared" si="2073"/>
        <v>20302</v>
      </c>
      <c r="G679" s="993">
        <f t="shared" si="2073"/>
        <v>19828</v>
      </c>
      <c r="H679" s="305">
        <f t="shared" si="2073"/>
        <v>5247</v>
      </c>
      <c r="I679" s="305">
        <f t="shared" si="2073"/>
        <v>5555</v>
      </c>
      <c r="J679" s="305">
        <f t="shared" si="2073"/>
        <v>5342</v>
      </c>
      <c r="K679" s="305">
        <f t="shared" si="2073"/>
        <v>5049</v>
      </c>
      <c r="L679" s="993">
        <f t="shared" si="2073"/>
        <v>21193</v>
      </c>
      <c r="M679" s="305">
        <f t="shared" si="2073"/>
        <v>5434</v>
      </c>
      <c r="N679" s="305">
        <f t="shared" si="2073"/>
        <v>6033</v>
      </c>
      <c r="O679" s="305">
        <f t="shared" si="2073"/>
        <v>5715</v>
      </c>
      <c r="P679" s="305">
        <f t="shared" si="2073"/>
        <v>5655</v>
      </c>
      <c r="Q679" s="993">
        <f t="shared" si="2073"/>
        <v>22837</v>
      </c>
      <c r="R679" s="305">
        <f t="shared" si="2073"/>
        <v>6139</v>
      </c>
      <c r="S679" s="305">
        <f t="shared" si="2073"/>
        <v>6355</v>
      </c>
      <c r="T679" s="305">
        <f t="shared" si="2073"/>
        <v>6037</v>
      </c>
      <c r="U679" s="305">
        <f t="shared" si="2073"/>
        <v>5547</v>
      </c>
      <c r="V679" s="993">
        <f t="shared" si="2073"/>
        <v>24078</v>
      </c>
      <c r="W679" s="305">
        <f t="shared" si="2073"/>
        <v>5890</v>
      </c>
      <c r="X679" s="305">
        <f t="shared" si="2073"/>
        <v>6175</v>
      </c>
      <c r="Y679" s="305">
        <f t="shared" si="2073"/>
        <v>6001</v>
      </c>
      <c r="Z679" s="305">
        <f t="shared" si="2073"/>
        <v>5786</v>
      </c>
      <c r="AA679" s="993">
        <f t="shared" si="2073"/>
        <v>23852</v>
      </c>
      <c r="AB679" s="305">
        <f t="shared" si="2073"/>
        <v>5653</v>
      </c>
      <c r="AC679" s="305">
        <f t="shared" si="2073"/>
        <v>6275</v>
      </c>
      <c r="AD679" s="305">
        <f t="shared" si="2073"/>
        <v>6315</v>
      </c>
      <c r="AE679" s="305">
        <f t="shared" si="2073"/>
        <v>6569</v>
      </c>
      <c r="AF679" s="993">
        <f t="shared" si="2073"/>
        <v>24812</v>
      </c>
      <c r="AG679" s="305">
        <f>AG619+AG621</f>
        <v>6317</v>
      </c>
      <c r="AH679" s="305">
        <f t="shared" si="2073"/>
        <v>6867</v>
      </c>
      <c r="AI679" s="305">
        <f t="shared" si="2073"/>
        <v>6564</v>
      </c>
      <c r="AJ679" s="305">
        <f t="shared" si="2073"/>
        <v>6267</v>
      </c>
      <c r="AK679" s="993">
        <f t="shared" si="2073"/>
        <v>26015</v>
      </c>
      <c r="AL679" s="305">
        <f>AL619+AL621</f>
        <v>5482</v>
      </c>
      <c r="AM679" s="305">
        <f>AM619+AM621</f>
        <v>5345</v>
      </c>
      <c r="AN679" s="305">
        <f>AN619+AN621</f>
        <v>6200</v>
      </c>
      <c r="AO679" s="305">
        <f t="shared" si="2074" ref="AO679:AP679">AO619+AO621</f>
        <v>5490</v>
      </c>
      <c r="AP679" s="993">
        <f t="shared" si="2074"/>
        <v>22517</v>
      </c>
      <c r="AQ679" s="305">
        <f t="shared" si="2075" ref="AQ679:AV679">AQ619+AQ621</f>
        <v>6276</v>
      </c>
      <c r="AR679" s="305">
        <f t="shared" si="2075"/>
        <v>7451</v>
      </c>
      <c r="AS679" s="305">
        <f t="shared" si="2075"/>
        <v>8533</v>
      </c>
      <c r="AT679" s="305">
        <f t="shared" si="2075"/>
        <v>8073</v>
      </c>
      <c r="AU679" s="993">
        <f t="shared" si="2075"/>
        <v>30333</v>
      </c>
      <c r="AV679" s="305">
        <f t="shared" si="2075"/>
        <v>8090</v>
      </c>
      <c r="AW679" s="305">
        <f t="shared" si="2076" ref="AW679:BB679">AW619+AW621</f>
        <v>9632</v>
      </c>
      <c r="AX679" s="305">
        <f t="shared" si="2076"/>
        <v>10325</v>
      </c>
      <c r="AY679" s="305">
        <f t="shared" si="2076"/>
        <v>10259</v>
      </c>
      <c r="AZ679" s="993">
        <f t="shared" si="2076"/>
        <v>38306</v>
      </c>
      <c r="BA679" s="305">
        <f t="shared" si="2076"/>
        <v>10591</v>
      </c>
      <c r="BB679" s="305">
        <f t="shared" si="2076"/>
        <v>11985</v>
      </c>
      <c r="BC679" s="305">
        <f>BC619+BC621</f>
        <v>10499</v>
      </c>
      <c r="BD679" s="305">
        <f t="shared" si="2077" ref="BD679:BE679">BD619+BD621</f>
        <v>9066</v>
      </c>
      <c r="BE679" s="993">
        <f t="shared" si="2077"/>
        <v>42141</v>
      </c>
      <c r="BF679" s="305">
        <f>BF619+BF621</f>
        <v>9797</v>
      </c>
      <c r="BG679" s="305">
        <f>BG619+BG621</f>
        <v>11092</v>
      </c>
      <c r="BH679" s="743">
        <f>BH619+BH621</f>
        <v>10726</v>
      </c>
      <c r="BI679" s="92">
        <f>BI95-BI236-BI539-BI275-BI578</f>
        <v>9689.3634949999978</v>
      </c>
      <c r="BJ679" s="989">
        <f>SUM(BF679,BG679,BH679,BI679)</f>
        <v>41304.363494999998</v>
      </c>
      <c r="BK679" s="92">
        <f>BK95-BK236-BK539-BK275-BK578</f>
        <v>10089.265452</v>
      </c>
      <c r="BL679" s="92">
        <f>BL95-BL236-BL539-BL275-BL578</f>
        <v>11719.846039000002</v>
      </c>
      <c r="BM679" s="92">
        <f>BM95-BM236-BM539-BM275-BM578</f>
        <v>11637.379164</v>
      </c>
      <c r="BN679" s="92">
        <f>BN95-BN236-BN539-BN275-BN578</f>
        <v>10250.34817315</v>
      </c>
      <c r="BO679" s="989">
        <f>SUM(BK679,BL679,BM679,BN679)</f>
        <v>43696.838828150001</v>
      </c>
      <c r="BP679" s="989">
        <f>BP95-BP236-BP539-BP275-BP578</f>
        <v>43207.997018653499</v>
      </c>
      <c r="BQ679" s="989">
        <f>BQ95-BQ236-BQ539-BQ275-BQ578</f>
        <v>44388.289808734757</v>
      </c>
      <c r="BR679" s="989">
        <f>BR95-BR236-BR539-BR275-BR578</f>
        <v>45726.838580684795</v>
      </c>
      <c r="BS679" s="305"/>
    </row>
    <row r="680" spans="1:71" s="300" customFormat="1" ht="15">
      <c r="A680" s="304" t="s">
        <v>67</v>
      </c>
      <c r="B680" s="166"/>
      <c r="C680" s="993">
        <f t="shared" si="2078" ref="C680:AK680">C620+C622+C623+C624+C626+C627+C628</f>
        <v>10017</v>
      </c>
      <c r="D680" s="993">
        <f t="shared" si="2078"/>
        <v>9152</v>
      </c>
      <c r="E680" s="993">
        <f t="shared" si="2078"/>
        <v>9399</v>
      </c>
      <c r="F680" s="993">
        <f t="shared" si="2078"/>
        <v>9352</v>
      </c>
      <c r="G680" s="993">
        <f t="shared" si="2078"/>
        <v>9737</v>
      </c>
      <c r="H680" s="305">
        <f t="shared" si="2078"/>
        <v>2442</v>
      </c>
      <c r="I680" s="305">
        <f t="shared" si="2078"/>
        <v>2274</v>
      </c>
      <c r="J680" s="305">
        <f t="shared" si="2078"/>
        <v>2299</v>
      </c>
      <c r="K680" s="305">
        <f t="shared" si="2078"/>
        <v>2398</v>
      </c>
      <c r="L680" s="993">
        <f t="shared" si="2078"/>
        <v>9413</v>
      </c>
      <c r="M680" s="305">
        <f t="shared" si="2078"/>
        <v>2363</v>
      </c>
      <c r="N680" s="305">
        <f t="shared" si="2078"/>
        <v>2351</v>
      </c>
      <c r="O680" s="305">
        <f t="shared" si="2078"/>
        <v>2287</v>
      </c>
      <c r="P680" s="305">
        <f t="shared" si="2078"/>
        <v>2244</v>
      </c>
      <c r="Q680" s="993">
        <f t="shared" si="2078"/>
        <v>9245</v>
      </c>
      <c r="R680" s="305">
        <f t="shared" si="2078"/>
        <v>2306</v>
      </c>
      <c r="S680" s="305">
        <f t="shared" si="2078"/>
        <v>2362</v>
      </c>
      <c r="T680" s="305">
        <f t="shared" si="2078"/>
        <v>2347</v>
      </c>
      <c r="U680" s="305">
        <f t="shared" si="2078"/>
        <v>2397</v>
      </c>
      <c r="V680" s="993">
        <f t="shared" si="2078"/>
        <v>9412</v>
      </c>
      <c r="W680" s="305">
        <f t="shared" si="2078"/>
        <v>2449</v>
      </c>
      <c r="X680" s="305">
        <f t="shared" si="2078"/>
        <v>2490</v>
      </c>
      <c r="Y680" s="305">
        <f t="shared" si="2078"/>
        <v>2606</v>
      </c>
      <c r="Z680" s="305">
        <f t="shared" si="2078"/>
        <v>2821</v>
      </c>
      <c r="AA680" s="993">
        <f t="shared" si="2078"/>
        <v>10366</v>
      </c>
      <c r="AB680" s="305">
        <f t="shared" si="2078"/>
        <v>2811</v>
      </c>
      <c r="AC680" s="305">
        <f t="shared" si="2078"/>
        <v>2895</v>
      </c>
      <c r="AD680" s="305">
        <f t="shared" si="2078"/>
        <v>3030</v>
      </c>
      <c r="AE680" s="305">
        <f t="shared" si="2078"/>
        <v>3197</v>
      </c>
      <c r="AF680" s="993">
        <f t="shared" si="2078"/>
        <v>11933</v>
      </c>
      <c r="AG680" s="305">
        <f t="shared" si="2078"/>
        <v>2956</v>
      </c>
      <c r="AH680" s="305">
        <f t="shared" si="2078"/>
        <v>2994</v>
      </c>
      <c r="AI680" s="305">
        <f t="shared" si="2078"/>
        <v>3040</v>
      </c>
      <c r="AJ680" s="305">
        <f t="shared" si="2078"/>
        <v>3146</v>
      </c>
      <c r="AK680" s="993">
        <f t="shared" si="2078"/>
        <v>12136</v>
      </c>
      <c r="AL680" s="305">
        <f>AL620+AL622+AL623+AL624+AL626+AL627+AL628</f>
        <v>2954</v>
      </c>
      <c r="AM680" s="305">
        <f>AM620+AM622+AM623+AM624+AM626+AM627+AM628</f>
        <v>3527</v>
      </c>
      <c r="AN680" s="305">
        <f>AN620+AN622+AN623+AN624+AN626+AN627+AN628</f>
        <v>2943</v>
      </c>
      <c r="AO680" s="305">
        <f t="shared" si="2079" ref="AO680:AP680">AO620+AO622+AO623+AO624+AO626+AO627+AO628</f>
        <v>2899</v>
      </c>
      <c r="AP680" s="993">
        <f t="shared" si="2079"/>
        <v>12323</v>
      </c>
      <c r="AQ680" s="305">
        <f t="shared" si="2080" ref="AQ680:AV680">AQ620+AQ622+AQ623+AQ624+AQ626+AQ627+AQ628</f>
        <v>3367</v>
      </c>
      <c r="AR680" s="305">
        <f t="shared" si="2080"/>
        <v>3441</v>
      </c>
      <c r="AS680" s="305">
        <f t="shared" si="2080"/>
        <v>3612</v>
      </c>
      <c r="AT680" s="305">
        <f t="shared" si="2080"/>
        <v>3701</v>
      </c>
      <c r="AU680" s="993">
        <f t="shared" si="2080"/>
        <v>14121</v>
      </c>
      <c r="AV680" s="305">
        <f t="shared" si="2080"/>
        <v>3609</v>
      </c>
      <c r="AW680" s="305">
        <f t="shared" si="2081" ref="AW680:BB680">AW620+AW622+AW623+AW624+AW626+AW627+AW628</f>
        <v>3556</v>
      </c>
      <c r="AX680" s="305">
        <f t="shared" si="2081"/>
        <v>3629</v>
      </c>
      <c r="AY680" s="305">
        <f t="shared" si="2081"/>
        <v>3690</v>
      </c>
      <c r="AZ680" s="993">
        <f t="shared" si="2081"/>
        <v>14484</v>
      </c>
      <c r="BA680" s="305">
        <f t="shared" si="2081"/>
        <v>3568</v>
      </c>
      <c r="BB680" s="305">
        <f t="shared" si="2081"/>
        <v>3684</v>
      </c>
      <c r="BC680" s="305">
        <f>BC620+BC622+BC623+BC624+BC626+BC627+BC628</f>
        <v>3782</v>
      </c>
      <c r="BD680" s="305">
        <f t="shared" si="2082" ref="BD680:BE680">BD620+BD622+BD623+BD624+BD626+BD627+BD628</f>
        <v>3879</v>
      </c>
      <c r="BE680" s="993">
        <f t="shared" si="2082"/>
        <v>14913</v>
      </c>
      <c r="BF680" s="305">
        <f>BF620+BF622+BF623+BF624+BF626+BF627+BF628</f>
        <v>3903</v>
      </c>
      <c r="BG680" s="305">
        <f>BG620+BG622+BG623+BG624+BG626+BG627+BG628</f>
        <v>4103</v>
      </c>
      <c r="BH680" s="743">
        <f>BH620+BH622+BH623+BH624+BH626+BH627+BH628</f>
        <v>4353</v>
      </c>
      <c r="BI680" s="92">
        <f>BI105-BI237-BI238-BI240-BI540-BI541-BI542-BI276-BI277-BI278-BI579-BI580-BI581-BI311</f>
        <v>3935.7645300000004</v>
      </c>
      <c r="BJ680" s="989">
        <f>SUM(BF680,BG680,BH680,BI680)</f>
        <v>16294.76453</v>
      </c>
      <c r="BK680" s="92">
        <f>BK105-BK237-BK238-BK240-BK540-BK541-BK542-BK276-BK277-BK278-BK579-BK580-BK581-BK311</f>
        <v>3952.2325600000004</v>
      </c>
      <c r="BL680" s="92">
        <f>BL105-BL237-BL238-BL240-BL540-BL541-BL542-BL276-BL277-BL278-BL579-BL580-BL581-BL311</f>
        <v>4238.9953800000003</v>
      </c>
      <c r="BM680" s="92">
        <f>BM105-BM237-BM238-BM240-BM540-BM541-BM542-BM276-BM277-BM278-BM579-BM580-BM581-BM311</f>
        <v>4376.6397550000002</v>
      </c>
      <c r="BN680" s="92">
        <f>BN105-BN237-BN238-BN240-BN540-BN541-BN542-BN276-BN277-BN278-BN579-BN580-BN581-BN311</f>
        <v>4163.6248568999999</v>
      </c>
      <c r="BO680" s="989">
        <f>SUM(BK680,BL680,BM680,BN680)</f>
        <v>16731.492551900003</v>
      </c>
      <c r="BP680" s="989">
        <f>BP105-BP237-BP238-BP240-BP540-BP541-BP542-BP276-BP277-BP278-BP579-BP580-BP581-BP311</f>
        <v>17098.938891059672</v>
      </c>
      <c r="BQ680" s="989">
        <f>BQ105-BQ237-BQ238-BQ240-BQ540-BQ541-BQ542-BQ276-BQ277-BQ278-BQ579-BQ580-BQ581-BQ311</f>
        <v>17587.915956073193</v>
      </c>
      <c r="BR680" s="989">
        <f>BR105-BR237-BR238-BR240-BR540-BR541-BR542-BR276-BR277-BR278-BR579-BR580-BR581-BR311</f>
        <v>18137.620626016189</v>
      </c>
      <c r="BS680" s="305"/>
    </row>
    <row r="681" spans="1:71" s="300" customFormat="1" ht="15">
      <c r="A681" s="304" t="s">
        <v>68</v>
      </c>
      <c r="B681" s="166"/>
      <c r="C681" s="993">
        <f t="shared" si="2083" ref="C681:AL681">C630</f>
        <v>392</v>
      </c>
      <c r="D681" s="993">
        <f t="shared" si="2083"/>
        <v>367</v>
      </c>
      <c r="E681" s="993">
        <f t="shared" si="2083"/>
        <v>367</v>
      </c>
      <c r="F681" s="993">
        <f t="shared" si="2083"/>
        <v>373</v>
      </c>
      <c r="G681" s="993">
        <f t="shared" si="2083"/>
        <v>367</v>
      </c>
      <c r="H681" s="305">
        <f t="shared" si="2083"/>
        <v>87</v>
      </c>
      <c r="I681" s="305">
        <f t="shared" si="2083"/>
        <v>84</v>
      </c>
      <c r="J681" s="305">
        <f t="shared" si="2083"/>
        <v>78</v>
      </c>
      <c r="K681" s="305">
        <f t="shared" si="2083"/>
        <v>73</v>
      </c>
      <c r="L681" s="993">
        <f t="shared" si="2083"/>
        <v>322</v>
      </c>
      <c r="M681" s="305">
        <f t="shared" si="2083"/>
        <v>73</v>
      </c>
      <c r="N681" s="305">
        <f t="shared" si="2083"/>
        <v>73</v>
      </c>
      <c r="O681" s="305">
        <f t="shared" si="2083"/>
        <v>73</v>
      </c>
      <c r="P681" s="305">
        <f t="shared" si="2083"/>
        <v>73</v>
      </c>
      <c r="Q681" s="993">
        <f t="shared" si="2083"/>
        <v>292</v>
      </c>
      <c r="R681" s="305">
        <f t="shared" si="2083"/>
        <v>73</v>
      </c>
      <c r="S681" s="305">
        <f t="shared" si="2083"/>
        <v>72</v>
      </c>
      <c r="T681" s="305">
        <f t="shared" si="2083"/>
        <v>73</v>
      </c>
      <c r="U681" s="305">
        <f t="shared" si="2083"/>
        <v>77</v>
      </c>
      <c r="V681" s="993">
        <f t="shared" si="2083"/>
        <v>295</v>
      </c>
      <c r="W681" s="305">
        <f t="shared" si="2083"/>
        <v>85</v>
      </c>
      <c r="X681" s="305">
        <f t="shared" si="2083"/>
        <v>83</v>
      </c>
      <c r="Y681" s="305">
        <f t="shared" si="2083"/>
        <v>83</v>
      </c>
      <c r="Z681" s="305">
        <f t="shared" si="2083"/>
        <v>84</v>
      </c>
      <c r="AA681" s="993">
        <f t="shared" si="2083"/>
        <v>335</v>
      </c>
      <c r="AB681" s="305">
        <f t="shared" si="2083"/>
        <v>83</v>
      </c>
      <c r="AC681" s="305">
        <f t="shared" si="2083"/>
        <v>86</v>
      </c>
      <c r="AD681" s="305">
        <f t="shared" si="2083"/>
        <v>82</v>
      </c>
      <c r="AE681" s="305">
        <f t="shared" si="2083"/>
        <v>81</v>
      </c>
      <c r="AF681" s="993">
        <f t="shared" si="2083"/>
        <v>332</v>
      </c>
      <c r="AG681" s="305">
        <f t="shared" si="2083"/>
        <v>83</v>
      </c>
      <c r="AH681" s="305">
        <f t="shared" si="2083"/>
        <v>82</v>
      </c>
      <c r="AI681" s="305">
        <f t="shared" si="2083"/>
        <v>80</v>
      </c>
      <c r="AJ681" s="305">
        <f t="shared" si="2083"/>
        <v>82</v>
      </c>
      <c r="AK681" s="993">
        <f t="shared" si="2083"/>
        <v>327</v>
      </c>
      <c r="AL681" s="305">
        <f t="shared" si="2083"/>
        <v>81</v>
      </c>
      <c r="AM681" s="305">
        <f>AM630</f>
        <v>79</v>
      </c>
      <c r="AN681" s="305">
        <f>AN630</f>
        <v>78</v>
      </c>
      <c r="AO681" s="305">
        <f t="shared" si="2084" ref="AO681:AP681">AO630</f>
        <v>80</v>
      </c>
      <c r="AP681" s="993">
        <f t="shared" si="2084"/>
        <v>318</v>
      </c>
      <c r="AQ681" s="305">
        <f t="shared" si="2085" ref="AQ681:AV681">AQ630</f>
        <v>86</v>
      </c>
      <c r="AR681" s="305">
        <f t="shared" si="2085"/>
        <v>91</v>
      </c>
      <c r="AS681" s="305">
        <f t="shared" si="2085"/>
        <v>69</v>
      </c>
      <c r="AT681" s="305">
        <f t="shared" si="2085"/>
        <v>84</v>
      </c>
      <c r="AU681" s="993">
        <f t="shared" si="2085"/>
        <v>330</v>
      </c>
      <c r="AV681" s="305">
        <f t="shared" si="2085"/>
        <v>83</v>
      </c>
      <c r="AW681" s="305">
        <f t="shared" si="2086" ref="AW681:BB681">AW630</f>
        <v>83</v>
      </c>
      <c r="AX681" s="305">
        <f t="shared" si="2086"/>
        <v>85</v>
      </c>
      <c r="AY681" s="305">
        <f t="shared" si="2086"/>
        <v>84</v>
      </c>
      <c r="AZ681" s="993">
        <f t="shared" si="2086"/>
        <v>335</v>
      </c>
      <c r="BA681" s="305">
        <f t="shared" si="2086"/>
        <v>86</v>
      </c>
      <c r="BB681" s="305">
        <f t="shared" si="2086"/>
        <v>98</v>
      </c>
      <c r="BC681" s="305">
        <f>BC630</f>
        <v>88</v>
      </c>
      <c r="BD681" s="305">
        <f t="shared" si="2087" ref="BD681:BE681">BD630</f>
        <v>107</v>
      </c>
      <c r="BE681" s="993">
        <f t="shared" si="2087"/>
        <v>379</v>
      </c>
      <c r="BF681" s="305">
        <f>BF630</f>
        <v>97</v>
      </c>
      <c r="BG681" s="305">
        <f>BG630</f>
        <v>98</v>
      </c>
      <c r="BH681" s="743">
        <f>BH630</f>
        <v>104</v>
      </c>
      <c r="BI681" s="92">
        <f>-BI313</f>
        <v>89.398863387978139</v>
      </c>
      <c r="BJ681" s="989">
        <f>SUM(BF681,BG681,BH681,BI681)</f>
        <v>388.39886338797817</v>
      </c>
      <c r="BK681" s="92">
        <f>-BK313</f>
        <v>87.695013698630135</v>
      </c>
      <c r="BL681" s="92">
        <f>-BL313</f>
        <v>88.669402739726024</v>
      </c>
      <c r="BM681" s="92">
        <f>-BM313</f>
        <v>89.643791780821914</v>
      </c>
      <c r="BN681" s="92">
        <f>-BN313</f>
        <v>89.643791780821914</v>
      </c>
      <c r="BO681" s="989">
        <f>SUM(BK681,BL681,BM681,BN681)</f>
        <v>355.65199999999999</v>
      </c>
      <c r="BP681" s="989">
        <f>-BP313</f>
        <v>355.65199999999999</v>
      </c>
      <c r="BQ681" s="989">
        <f>-BQ313</f>
        <v>355.65199999999999</v>
      </c>
      <c r="BR681" s="989">
        <f>-BR313</f>
        <v>355.65199999999999</v>
      </c>
      <c r="BS681" s="305"/>
    </row>
    <row r="682" spans="1:71" s="300" customFormat="1" ht="15">
      <c r="A682" s="111" t="s">
        <v>69</v>
      </c>
      <c r="B682" s="166"/>
      <c r="C682" s="989">
        <f t="shared" si="2088" ref="C682:AK682">C625</f>
        <v>0</v>
      </c>
      <c r="D682" s="989">
        <f t="shared" si="2088"/>
        <v>0</v>
      </c>
      <c r="E682" s="989">
        <f t="shared" si="2088"/>
        <v>0</v>
      </c>
      <c r="F682" s="989">
        <f t="shared" si="2088"/>
        <v>0</v>
      </c>
      <c r="G682" s="989">
        <f t="shared" si="2088"/>
        <v>0</v>
      </c>
      <c r="H682" s="92">
        <f t="shared" si="2088"/>
        <v>0</v>
      </c>
      <c r="I682" s="92">
        <f t="shared" si="2088"/>
        <v>0</v>
      </c>
      <c r="J682" s="92">
        <f t="shared" si="2088"/>
        <v>0</v>
      </c>
      <c r="K682" s="92">
        <f t="shared" si="2088"/>
        <v>0</v>
      </c>
      <c r="L682" s="989">
        <f t="shared" si="2088"/>
        <v>0</v>
      </c>
      <c r="M682" s="92">
        <f t="shared" si="2088"/>
        <v>0</v>
      </c>
      <c r="N682" s="92">
        <f t="shared" si="2088"/>
        <v>0</v>
      </c>
      <c r="O682" s="92">
        <f t="shared" si="2088"/>
        <v>0</v>
      </c>
      <c r="P682" s="92">
        <f t="shared" si="2088"/>
        <v>0</v>
      </c>
      <c r="Q682" s="989">
        <f t="shared" si="2088"/>
        <v>0</v>
      </c>
      <c r="R682" s="92">
        <f t="shared" si="2088"/>
        <v>0</v>
      </c>
      <c r="S682" s="92">
        <f t="shared" si="2088"/>
        <v>0</v>
      </c>
      <c r="T682" s="92">
        <f t="shared" si="2088"/>
        <v>0</v>
      </c>
      <c r="U682" s="92">
        <f t="shared" si="2088"/>
        <v>0</v>
      </c>
      <c r="V682" s="989">
        <f t="shared" si="2088"/>
        <v>0</v>
      </c>
      <c r="W682" s="92">
        <f t="shared" si="2088"/>
        <v>0</v>
      </c>
      <c r="X682" s="92">
        <f t="shared" si="2088"/>
        <v>0</v>
      </c>
      <c r="Y682" s="92">
        <f t="shared" si="2088"/>
        <v>0</v>
      </c>
      <c r="Z682" s="92">
        <f t="shared" si="2088"/>
        <v>0</v>
      </c>
      <c r="AA682" s="989">
        <f t="shared" si="2088"/>
        <v>0</v>
      </c>
      <c r="AB682" s="92">
        <f t="shared" si="2088"/>
        <v>0</v>
      </c>
      <c r="AC682" s="92">
        <f t="shared" si="2088"/>
        <v>0</v>
      </c>
      <c r="AD682" s="92">
        <f t="shared" si="2088"/>
        <v>0</v>
      </c>
      <c r="AE682" s="92">
        <f t="shared" si="2088"/>
        <v>0</v>
      </c>
      <c r="AF682" s="989">
        <f t="shared" si="2088"/>
        <v>0</v>
      </c>
      <c r="AG682" s="92">
        <f t="shared" si="2088"/>
        <v>15</v>
      </c>
      <c r="AH682" s="92">
        <f t="shared" si="2088"/>
        <v>125</v>
      </c>
      <c r="AI682" s="92">
        <f t="shared" si="2088"/>
        <v>225</v>
      </c>
      <c r="AJ682" s="92">
        <f t="shared" si="2088"/>
        <v>-251</v>
      </c>
      <c r="AK682" s="989">
        <f t="shared" si="2088"/>
        <v>114</v>
      </c>
      <c r="AL682" s="92">
        <f>AL625</f>
        <v>318</v>
      </c>
      <c r="AM682" s="92">
        <f>AM625</f>
        <v>73</v>
      </c>
      <c r="AN682" s="92">
        <f>AN625</f>
        <v>-71</v>
      </c>
      <c r="AO682" s="92">
        <f t="shared" si="2089" ref="AO682:AP682">AO625</f>
        <v>-371</v>
      </c>
      <c r="AP682" s="989">
        <f t="shared" si="2089"/>
        <v>-51</v>
      </c>
      <c r="AQ682" s="92">
        <f t="shared" si="2090" ref="AQ682:AV682">AQ625</f>
        <v>-310</v>
      </c>
      <c r="AR682" s="92">
        <f t="shared" si="2090"/>
        <v>-134</v>
      </c>
      <c r="AS682" s="92">
        <f t="shared" si="2090"/>
        <v>40</v>
      </c>
      <c r="AT682" s="92">
        <f t="shared" si="2090"/>
        <v>-240</v>
      </c>
      <c r="AU682" s="989">
        <f t="shared" si="2090"/>
        <v>-644</v>
      </c>
      <c r="AV682" s="92">
        <f t="shared" si="2090"/>
        <v>-247</v>
      </c>
      <c r="AW682" s="92">
        <f t="shared" si="2091" ref="AW682:BB682">AW625</f>
        <v>259</v>
      </c>
      <c r="AX682" s="92">
        <f t="shared" si="2091"/>
        <v>79</v>
      </c>
      <c r="AY682" s="92">
        <f t="shared" si="2091"/>
        <v>25</v>
      </c>
      <c r="AZ682" s="989">
        <f t="shared" si="2091"/>
        <v>116</v>
      </c>
      <c r="BA682" s="92">
        <f t="shared" si="2091"/>
        <v>-53</v>
      </c>
      <c r="BB682" s="92">
        <f t="shared" si="2091"/>
        <v>-40</v>
      </c>
      <c r="BC682" s="92">
        <f>BC625</f>
        <v>149</v>
      </c>
      <c r="BD682" s="92">
        <f t="shared" si="2092" ref="BD682:BE682">BD625</f>
        <v>-47</v>
      </c>
      <c r="BE682" s="989">
        <f t="shared" si="2092"/>
        <v>9</v>
      </c>
      <c r="BF682" s="92">
        <f>BF625</f>
        <v>-2</v>
      </c>
      <c r="BG682" s="92">
        <f>BG625</f>
        <v>-9</v>
      </c>
      <c r="BH682" s="464">
        <f>BH625</f>
        <v>26</v>
      </c>
      <c r="BI682" s="897">
        <v>0</v>
      </c>
      <c r="BJ682" s="989">
        <f>SUM(BF682,BG682,BH682,BI682)</f>
        <v>15</v>
      </c>
      <c r="BK682" s="897">
        <v>0</v>
      </c>
      <c r="BL682" s="897">
        <v>0</v>
      </c>
      <c r="BM682" s="897">
        <v>0</v>
      </c>
      <c r="BN682" s="897">
        <v>0</v>
      </c>
      <c r="BO682" s="989">
        <f>SUM(BK682,BL682,BM682,BN682)</f>
        <v>0</v>
      </c>
      <c r="BP682" s="988">
        <v>0</v>
      </c>
      <c r="BQ682" s="988">
        <v>0</v>
      </c>
      <c r="BR682" s="988">
        <v>0</v>
      </c>
      <c r="BS682" s="305"/>
    </row>
    <row r="683" spans="1:71" s="300" customFormat="1" ht="15">
      <c r="A683" s="110" t="s">
        <v>70</v>
      </c>
      <c r="B683" s="395"/>
      <c r="C683" s="998">
        <f t="shared" si="2093" ref="C683:AK683">C629-C632</f>
        <v>-7</v>
      </c>
      <c r="D683" s="998">
        <f t="shared" si="2093"/>
        <v>-11</v>
      </c>
      <c r="E683" s="998">
        <f t="shared" si="2093"/>
        <v>7</v>
      </c>
      <c r="F683" s="998">
        <f t="shared" si="2093"/>
        <v>-18</v>
      </c>
      <c r="G683" s="998">
        <f t="shared" si="2093"/>
        <v>1179</v>
      </c>
      <c r="H683" s="58">
        <f t="shared" si="2093"/>
        <v>59</v>
      </c>
      <c r="I683" s="58">
        <f t="shared" si="2093"/>
        <v>-8</v>
      </c>
      <c r="J683" s="58">
        <f t="shared" si="2093"/>
        <v>27</v>
      </c>
      <c r="K683" s="58">
        <f t="shared" si="2093"/>
        <v>-3</v>
      </c>
      <c r="L683" s="998">
        <f t="shared" si="2093"/>
        <v>75</v>
      </c>
      <c r="M683" s="58">
        <f t="shared" si="2093"/>
        <v>1</v>
      </c>
      <c r="N683" s="58">
        <f t="shared" si="2093"/>
        <v>-1</v>
      </c>
      <c r="O683" s="58">
        <f t="shared" si="2093"/>
        <v>-2</v>
      </c>
      <c r="P683" s="58">
        <f t="shared" si="2093"/>
        <v>-1</v>
      </c>
      <c r="Q683" s="998">
        <f t="shared" si="2093"/>
        <v>-3</v>
      </c>
      <c r="R683" s="58">
        <f t="shared" si="2093"/>
        <v>-2</v>
      </c>
      <c r="S683" s="58">
        <f t="shared" si="2093"/>
        <v>-1</v>
      </c>
      <c r="T683" s="58">
        <f t="shared" si="2093"/>
        <v>-1</v>
      </c>
      <c r="U683" s="58">
        <f t="shared" si="2093"/>
        <v>-1</v>
      </c>
      <c r="V683" s="998">
        <f t="shared" si="2093"/>
        <v>-5</v>
      </c>
      <c r="W683" s="58">
        <f t="shared" si="2093"/>
        <v>-2</v>
      </c>
      <c r="X683" s="58">
        <f t="shared" si="2093"/>
        <v>-12</v>
      </c>
      <c r="Y683" s="58">
        <f t="shared" si="2093"/>
        <v>-1</v>
      </c>
      <c r="Z683" s="58">
        <f t="shared" si="2093"/>
        <v>-5</v>
      </c>
      <c r="AA683" s="998">
        <f t="shared" si="2093"/>
        <v>-20</v>
      </c>
      <c r="AB683" s="58">
        <f t="shared" si="2093"/>
        <v>-1</v>
      </c>
      <c r="AC683" s="58">
        <f t="shared" si="2093"/>
        <v>-2</v>
      </c>
      <c r="AD683" s="58">
        <f t="shared" si="2093"/>
        <v>-1</v>
      </c>
      <c r="AE683" s="58">
        <f t="shared" si="2093"/>
        <v>-2</v>
      </c>
      <c r="AF683" s="998">
        <f t="shared" si="2093"/>
        <v>-6</v>
      </c>
      <c r="AG683" s="58">
        <f t="shared" si="2093"/>
        <v>-1</v>
      </c>
      <c r="AH683" s="58">
        <f t="shared" si="2093"/>
        <v>-2</v>
      </c>
      <c r="AI683" s="58">
        <f t="shared" si="2093"/>
        <v>0</v>
      </c>
      <c r="AJ683" s="58">
        <f t="shared" si="2093"/>
        <v>-3</v>
      </c>
      <c r="AK683" s="998">
        <f t="shared" si="2093"/>
        <v>-6</v>
      </c>
      <c r="AL683" s="58">
        <f>AL629-AL632</f>
        <v>0</v>
      </c>
      <c r="AM683" s="58">
        <f>AM629-AM632</f>
        <v>0</v>
      </c>
      <c r="AN683" s="58">
        <f>AN629-AN632</f>
        <v>0</v>
      </c>
      <c r="AO683" s="58">
        <f t="shared" si="2094" ref="AO683:AP683">AO629-AO632</f>
        <v>0</v>
      </c>
      <c r="AP683" s="998">
        <f t="shared" si="2094"/>
        <v>0</v>
      </c>
      <c r="AQ683" s="58">
        <f t="shared" si="2095" ref="AQ683:AV683">AQ629-AQ632</f>
        <v>0</v>
      </c>
      <c r="AR683" s="58">
        <f t="shared" si="2095"/>
        <v>0</v>
      </c>
      <c r="AS683" s="58">
        <f t="shared" si="2095"/>
        <v>0</v>
      </c>
      <c r="AT683" s="58">
        <f t="shared" si="2095"/>
        <v>0</v>
      </c>
      <c r="AU683" s="998">
        <f t="shared" si="2095"/>
        <v>0</v>
      </c>
      <c r="AV683" s="58">
        <f t="shared" si="2095"/>
        <v>0</v>
      </c>
      <c r="AW683" s="58">
        <f t="shared" si="2096" ref="AW683:BB683">AW629-AW632</f>
        <v>0</v>
      </c>
      <c r="AX683" s="58">
        <f t="shared" si="2096"/>
        <v>0</v>
      </c>
      <c r="AY683" s="58">
        <f t="shared" si="2096"/>
        <v>0</v>
      </c>
      <c r="AZ683" s="998">
        <f t="shared" si="2096"/>
        <v>0</v>
      </c>
      <c r="BA683" s="58">
        <f t="shared" si="2096"/>
        <v>0</v>
      </c>
      <c r="BB683" s="58">
        <f t="shared" si="2096"/>
        <v>0</v>
      </c>
      <c r="BC683" s="58">
        <f>BC629-BC632</f>
        <v>0</v>
      </c>
      <c r="BD683" s="58">
        <f t="shared" si="2097" ref="BD683:BE683">BD629-BD632</f>
        <v>0</v>
      </c>
      <c r="BE683" s="998">
        <f t="shared" si="2097"/>
        <v>0</v>
      </c>
      <c r="BF683" s="58">
        <f>BF629-BF632</f>
        <v>0</v>
      </c>
      <c r="BG683" s="58">
        <f>BG629-BG632</f>
        <v>0</v>
      </c>
      <c r="BH683" s="744">
        <f>BH629-BH632</f>
        <v>0</v>
      </c>
      <c r="BI683" s="115">
        <f>-BI239-BI241-BI543-BI544-BI279-BI582-BI583</f>
        <v>0</v>
      </c>
      <c r="BJ683" s="995">
        <f>SUM(BF683,BG683,BH683,BI683)</f>
        <v>0</v>
      </c>
      <c r="BK683" s="115">
        <f>-BK239-BK241-BK543-BK544-BK279-BK582-BK583</f>
        <v>0</v>
      </c>
      <c r="BL683" s="115">
        <f>-BL239-BL241-BL543-BL544-BL279-BL582-BL583</f>
        <v>0</v>
      </c>
      <c r="BM683" s="115">
        <f>-BM239-BM241-BM543-BM544-BM279-BM582-BM583</f>
        <v>0</v>
      </c>
      <c r="BN683" s="115">
        <f>-BN239-BN241-BN543-BN544-BN279-BN582-BN583</f>
        <v>0</v>
      </c>
      <c r="BO683" s="995">
        <f>SUM(BK683,BL683,BM683,BN683)</f>
        <v>0</v>
      </c>
      <c r="BP683" s="995">
        <f>-BP239-BP241-BP543-BP544-BP279-BP582-BP583</f>
        <v>0</v>
      </c>
      <c r="BQ683" s="995">
        <f>-BQ239-BQ241-BQ543-BQ544-BQ279-BQ582-BQ583</f>
        <v>0</v>
      </c>
      <c r="BR683" s="995">
        <f>-BR239-BR241-BR543-BR544-BR279-BR582-BR583</f>
        <v>0</v>
      </c>
      <c r="BS683" s="305"/>
    </row>
    <row r="684" spans="1:71" s="51" customFormat="1" ht="15">
      <c r="A684" s="87" t="s">
        <v>71</v>
      </c>
      <c r="B684" s="506"/>
      <c r="C684" s="996">
        <f t="shared" si="2098" ref="C684:AL684">+C676-C679-SUM(C680:C683)</f>
        <v>1248</v>
      </c>
      <c r="D684" s="996">
        <f t="shared" si="2098"/>
        <v>1126</v>
      </c>
      <c r="E684" s="996">
        <f t="shared" si="2098"/>
        <v>959</v>
      </c>
      <c r="F684" s="996">
        <f t="shared" si="2098"/>
        <v>3306</v>
      </c>
      <c r="G684" s="996">
        <f t="shared" si="2098"/>
        <v>3396</v>
      </c>
      <c r="H684" s="89">
        <f t="shared" si="2098"/>
        <v>849</v>
      </c>
      <c r="I684" s="89">
        <f t="shared" si="2098"/>
        <v>955</v>
      </c>
      <c r="J684" s="89">
        <f t="shared" si="2098"/>
        <v>1190</v>
      </c>
      <c r="K684" s="89">
        <f t="shared" si="2098"/>
        <v>1242</v>
      </c>
      <c r="L684" s="996">
        <f t="shared" si="2098"/>
        <v>4236</v>
      </c>
      <c r="M684" s="89">
        <f t="shared" si="2098"/>
        <v>1081</v>
      </c>
      <c r="N684" s="89">
        <f t="shared" si="2098"/>
        <v>526</v>
      </c>
      <c r="O684" s="89">
        <f t="shared" si="2098"/>
        <v>955</v>
      </c>
      <c r="P684" s="89">
        <f t="shared" si="2098"/>
        <v>720</v>
      </c>
      <c r="Q684" s="996">
        <f t="shared" si="2098"/>
        <v>3282</v>
      </c>
      <c r="R684" s="89">
        <f t="shared" si="2098"/>
        <v>355</v>
      </c>
      <c r="S684" s="89">
        <f t="shared" si="2098"/>
        <v>376</v>
      </c>
      <c r="T684" s="89">
        <f t="shared" si="2098"/>
        <v>765</v>
      </c>
      <c r="U684" s="89">
        <f t="shared" si="2098"/>
        <v>1258</v>
      </c>
      <c r="V684" s="996">
        <f t="shared" si="2098"/>
        <v>2754</v>
      </c>
      <c r="W684" s="89">
        <f t="shared" si="2098"/>
        <v>1012</v>
      </c>
      <c r="X684" s="89">
        <f t="shared" si="2098"/>
        <v>851</v>
      </c>
      <c r="Y684" s="89">
        <f t="shared" si="2098"/>
        <v>971</v>
      </c>
      <c r="Z684" s="89">
        <f t="shared" si="2098"/>
        <v>1157</v>
      </c>
      <c r="AA684" s="996">
        <f t="shared" si="2098"/>
        <v>3991</v>
      </c>
      <c r="AB684" s="89">
        <f t="shared" si="2098"/>
        <v>1224</v>
      </c>
      <c r="AC684" s="89">
        <f t="shared" si="2098"/>
        <v>845</v>
      </c>
      <c r="AD684" s="89">
        <f t="shared" si="2098"/>
        <v>1039</v>
      </c>
      <c r="AE684" s="89">
        <f t="shared" si="2098"/>
        <v>-364</v>
      </c>
      <c r="AF684" s="996">
        <f t="shared" si="2098"/>
        <v>2744</v>
      </c>
      <c r="AG684" s="89">
        <f t="shared" si="2098"/>
        <v>1620</v>
      </c>
      <c r="AH684" s="89">
        <f t="shared" si="2098"/>
        <v>1078</v>
      </c>
      <c r="AI684" s="89">
        <f t="shared" si="2098"/>
        <v>1160</v>
      </c>
      <c r="AJ684" s="89">
        <f t="shared" si="2098"/>
        <v>2231</v>
      </c>
      <c r="AK684" s="996">
        <f t="shared" si="2098"/>
        <v>6089</v>
      </c>
      <c r="AL684" s="89">
        <f t="shared" si="2098"/>
        <v>1031</v>
      </c>
      <c r="AM684" s="89">
        <f>+AM676-AM679-SUM(AM680:AM683)</f>
        <v>1379</v>
      </c>
      <c r="AN684" s="89">
        <f>+AN676-AN679-SUM(AN680:AN683)</f>
        <v>1528</v>
      </c>
      <c r="AO684" s="89">
        <f t="shared" si="2099" ref="AO684:AP684">+AO676-AO679-SUM(AO680:AO683)</f>
        <v>2864</v>
      </c>
      <c r="AP684" s="996">
        <f t="shared" si="2099"/>
        <v>6802</v>
      </c>
      <c r="AQ684" s="89">
        <f t="shared" si="2100" ref="AQ684:AV684">+AQ676-AQ679-SUM(AQ680:AQ683)</f>
        <v>3032</v>
      </c>
      <c r="AR684" s="89">
        <f t="shared" si="2100"/>
        <v>1797</v>
      </c>
      <c r="AS684" s="89">
        <f t="shared" si="2100"/>
        <v>226</v>
      </c>
      <c r="AT684" s="89">
        <f t="shared" si="2100"/>
        <v>1393</v>
      </c>
      <c r="AU684" s="996">
        <f t="shared" si="2100"/>
        <v>6448</v>
      </c>
      <c r="AV684" s="89">
        <f t="shared" si="2100"/>
        <v>801</v>
      </c>
      <c r="AW684" s="89">
        <f t="shared" si="2101" ref="AW684:BJ684">+AW676-AW679-SUM(AW680:AW683)</f>
        <v>-1311</v>
      </c>
      <c r="AX684" s="89">
        <f t="shared" si="2101"/>
        <v>-910</v>
      </c>
      <c r="AY684" s="89">
        <f t="shared" si="2101"/>
        <v>-410</v>
      </c>
      <c r="AZ684" s="996">
        <f t="shared" si="2101"/>
        <v>-1830</v>
      </c>
      <c r="BA684" s="89">
        <f t="shared" si="2102" ref="BA684:BI684">+BA676-BA679-SUM(BA680:BA683)</f>
        <v>-406</v>
      </c>
      <c r="BB684" s="89">
        <f t="shared" si="2102"/>
        <v>-1748</v>
      </c>
      <c r="BC684" s="89">
        <f t="shared" si="2102"/>
        <v>-21</v>
      </c>
      <c r="BD684" s="89">
        <f t="shared" si="2102"/>
        <v>1827</v>
      </c>
      <c r="BE684" s="996">
        <f t="shared" si="2102"/>
        <v>-348</v>
      </c>
      <c r="BF684" s="89">
        <f>+BF676-BF679-SUM(BF680:BF683)</f>
        <v>1464</v>
      </c>
      <c r="BG684" s="89">
        <f>+BG676-BG679-SUM(BG680:BG683)</f>
        <v>430</v>
      </c>
      <c r="BH684" s="742">
        <f>+BH676-BH679-SUM(BH680:BH683)</f>
        <v>1418</v>
      </c>
      <c r="BI684" s="90">
        <f t="shared" si="2102"/>
        <v>1823.2041813387987</v>
      </c>
      <c r="BJ684" s="997">
        <f t="shared" si="2101"/>
        <v>5135.2041813387987</v>
      </c>
      <c r="BK684" s="90">
        <f t="shared" si="2103" ref="BK684:BR684">+BK676-BK679-SUM(BK680:BK683)</f>
        <v>1859.0054826575347</v>
      </c>
      <c r="BL684" s="90">
        <f t="shared" si="2103"/>
        <v>1121.6071051506842</v>
      </c>
      <c r="BM684" s="90">
        <f t="shared" si="2103"/>
        <v>1560.8939293835629</v>
      </c>
      <c r="BN684" s="90">
        <f t="shared" si="2103"/>
        <v>2135.5036426305505</v>
      </c>
      <c r="BO684" s="997">
        <f t="shared" si="2103"/>
        <v>6677.01015982233</v>
      </c>
      <c r="BP684" s="997">
        <f t="shared" si="2103"/>
        <v>7227.1324122308433</v>
      </c>
      <c r="BQ684" s="997">
        <f t="shared" si="2103"/>
        <v>7398.2676686143568</v>
      </c>
      <c r="BR684" s="997">
        <f t="shared" si="2103"/>
        <v>7595.5085633389681</v>
      </c>
      <c r="BS684" s="57"/>
    </row>
    <row r="685" spans="1:71" s="205" customFormat="1" ht="15">
      <c r="A685" s="201" t="str">
        <f>CONCATENATE("Consensus Estimates - ",IFERROR(LEFT(A684,FIND("(",A684)-1),A684))</f>
        <v>Consensus Estimates - EBT</v>
      </c>
      <c r="B685" s="229"/>
      <c r="C685" s="1001"/>
      <c r="D685" s="1001"/>
      <c r="E685" s="1001"/>
      <c r="F685" s="1001"/>
      <c r="G685" s="1001"/>
      <c r="H685" s="203"/>
      <c r="I685" s="203"/>
      <c r="J685" s="203"/>
      <c r="K685" s="203"/>
      <c r="L685" s="1001"/>
      <c r="M685" s="203"/>
      <c r="N685" s="203"/>
      <c r="O685" s="203"/>
      <c r="P685" s="203"/>
      <c r="Q685" s="1001"/>
      <c r="R685" s="203"/>
      <c r="S685" s="203"/>
      <c r="T685" s="203"/>
      <c r="U685" s="203"/>
      <c r="V685" s="1001"/>
      <c r="W685" s="217"/>
      <c r="X685" s="203"/>
      <c r="Y685" s="203"/>
      <c r="Z685" s="203"/>
      <c r="AA685" s="1001"/>
      <c r="AB685" s="217"/>
      <c r="AC685" s="203"/>
      <c r="AD685" s="203"/>
      <c r="AE685" s="203"/>
      <c r="AF685" s="1001"/>
      <c r="AG685" s="217"/>
      <c r="AH685" s="203"/>
      <c r="AI685" s="203"/>
      <c r="AJ685" s="203"/>
      <c r="AK685" s="1001"/>
      <c r="AL685" s="217"/>
      <c r="AM685" s="203"/>
      <c r="AN685" s="203"/>
      <c r="AO685" s="203"/>
      <c r="AP685" s="1001"/>
      <c r="AQ685" s="217"/>
      <c r="AR685" s="203"/>
      <c r="AS685" s="203"/>
      <c r="AT685" s="203"/>
      <c r="AU685" s="1001"/>
      <c r="AV685" s="217"/>
      <c r="AW685" s="203"/>
      <c r="AX685" s="203"/>
      <c r="AY685" s="203"/>
      <c r="AZ685" s="1001"/>
      <c r="BA685" s="217"/>
      <c r="BB685" s="203"/>
      <c r="BC685" s="203"/>
      <c r="BD685" s="203"/>
      <c r="BE685" s="1001"/>
      <c r="BF685" s="217"/>
      <c r="BG685" s="203"/>
      <c r="BH685" s="746"/>
      <c r="BI685" s="249" t="str">
        <f ca="1" t="shared" si="2104" ref="BI685:BO685">IFERROR(VLOOKUP($A685,tb_ConsensusEstimate,MATCH(BI$5,OFFSET(tb_ConsensusEstimate,0,0,1,COLUMNS(tb_ConsensusEstimate)),0),FALSE),"-")</f>
        <v>N/A</v>
      </c>
      <c r="BJ685" s="1002" t="str">
        <f t="shared" ca="1" si="2104"/>
        <v>N/A</v>
      </c>
      <c r="BK685" s="249" t="str">
        <f t="shared" ca="1" si="2104"/>
        <v>N/A</v>
      </c>
      <c r="BL685" s="249" t="str">
        <f t="shared" ca="1" si="2104"/>
        <v>N/A</v>
      </c>
      <c r="BM685" s="249" t="str">
        <f t="shared" ca="1" si="2104"/>
        <v>N/A</v>
      </c>
      <c r="BN685" s="249" t="str">
        <f t="shared" ca="1" si="2104"/>
        <v>N/A</v>
      </c>
      <c r="BO685" s="1002" t="str">
        <f t="shared" ca="1" si="2104"/>
        <v>N/A</v>
      </c>
      <c r="BP685" s="1002" t="str">
        <f ca="1">IFERROR(VLOOKUP($A685,tb_ConsensusEstimate,MATCH(BP5,OFFSET(tb_ConsensusEstimate,0,0,1,COLUMNS(tb_ConsensusEstimate)),0),FALSE),"-")</f>
        <v>N/A</v>
      </c>
      <c r="BQ685" s="1002" t="str">
        <f ca="1">IFERROR(VLOOKUP($A685,tb_ConsensusEstimate,MATCH(BQ5,OFFSET(tb_ConsensusEstimate,0,0,1,COLUMNS(tb_ConsensusEstimate)),0),FALSE),"-")</f>
        <v>N/A</v>
      </c>
      <c r="BR685" s="1002" t="str">
        <f ca="1">IFERROR(VLOOKUP($A685,tb_ConsensusEstimate,MATCH(BR5,OFFSET(tb_ConsensusEstimate,0,0,1,COLUMNS(tb_ConsensusEstimate)),0),FALSE),"-")</f>
        <v>N/A</v>
      </c>
      <c r="BS685" s="203"/>
    </row>
    <row r="686" spans="1:71" s="108" customFormat="1" ht="15">
      <c r="A686" s="201"/>
      <c r="B686" s="229"/>
      <c r="C686" s="1001"/>
      <c r="D686" s="1001"/>
      <c r="E686" s="1001"/>
      <c r="F686" s="1001"/>
      <c r="G686" s="1001"/>
      <c r="H686" s="203"/>
      <c r="I686" s="203"/>
      <c r="J686" s="203"/>
      <c r="K686" s="203"/>
      <c r="L686" s="1001"/>
      <c r="M686" s="203"/>
      <c r="N686" s="203"/>
      <c r="O686" s="203"/>
      <c r="P686" s="203"/>
      <c r="Q686" s="1001"/>
      <c r="R686" s="203"/>
      <c r="S686" s="203"/>
      <c r="T686" s="203"/>
      <c r="U686" s="203"/>
      <c r="V686" s="1001"/>
      <c r="W686" s="203"/>
      <c r="X686" s="203"/>
      <c r="Y686" s="203"/>
      <c r="Z686" s="203"/>
      <c r="AA686" s="1001"/>
      <c r="AB686" s="203"/>
      <c r="AC686" s="203"/>
      <c r="AD686" s="203"/>
      <c r="AE686" s="203"/>
      <c r="AF686" s="1001"/>
      <c r="AG686" s="203"/>
      <c r="AH686" s="203"/>
      <c r="AI686" s="203"/>
      <c r="AJ686" s="203"/>
      <c r="AK686" s="1001"/>
      <c r="AL686" s="203"/>
      <c r="AM686" s="203"/>
      <c r="AN686" s="203"/>
      <c r="AO686" s="203"/>
      <c r="AP686" s="1001"/>
      <c r="AQ686" s="203"/>
      <c r="AR686" s="203"/>
      <c r="AS686" s="203"/>
      <c r="AT686" s="203"/>
      <c r="AU686" s="1001"/>
      <c r="AV686" s="203"/>
      <c r="AW686" s="203"/>
      <c r="AX686" s="203"/>
      <c r="AY686" s="203"/>
      <c r="AZ686" s="1001"/>
      <c r="BA686" s="203"/>
      <c r="BB686" s="203"/>
      <c r="BC686" s="203"/>
      <c r="BD686" s="203"/>
      <c r="BE686" s="1001"/>
      <c r="BF686" s="203"/>
      <c r="BG686" s="203"/>
      <c r="BH686" s="746"/>
      <c r="BI686" s="203"/>
      <c r="BJ686" s="1001"/>
      <c r="BK686" s="203"/>
      <c r="BL686" s="203"/>
      <c r="BM686" s="203"/>
      <c r="BN686" s="203"/>
      <c r="BO686" s="1001"/>
      <c r="BP686" s="1001"/>
      <c r="BQ686" s="1001"/>
      <c r="BR686" s="1001"/>
      <c r="BS686" s="107"/>
    </row>
    <row r="687" spans="1:71" s="300" customFormat="1" ht="15">
      <c r="A687" s="304" t="s">
        <v>72</v>
      </c>
      <c r="B687" s="166"/>
      <c r="C687" s="993">
        <f t="shared" si="2105" ref="C687:AL687">C634-C688</f>
        <v>-18</v>
      </c>
      <c r="D687" s="993">
        <f t="shared" si="2105"/>
        <v>142</v>
      </c>
      <c r="E687" s="993">
        <f t="shared" si="2105"/>
        <v>14</v>
      </c>
      <c r="F687" s="993">
        <f t="shared" si="2105"/>
        <v>295</v>
      </c>
      <c r="G687" s="993">
        <f t="shared" si="2105"/>
        <v>869</v>
      </c>
      <c r="H687" s="305">
        <f t="shared" si="2105"/>
        <v>249</v>
      </c>
      <c r="I687" s="305">
        <f t="shared" si="2105"/>
        <v>310</v>
      </c>
      <c r="J687" s="305">
        <f t="shared" si="2105"/>
        <v>409</v>
      </c>
      <c r="K687" s="305">
        <f t="shared" si="2105"/>
        <v>418</v>
      </c>
      <c r="L687" s="993">
        <f t="shared" si="2105"/>
        <v>1123</v>
      </c>
      <c r="M687" s="305">
        <f t="shared" si="2105"/>
        <v>404</v>
      </c>
      <c r="N687" s="305">
        <f t="shared" si="2105"/>
        <v>171</v>
      </c>
      <c r="O687" s="305">
        <f t="shared" si="2105"/>
        <v>305</v>
      </c>
      <c r="P687" s="305">
        <f t="shared" si="2105"/>
        <v>231</v>
      </c>
      <c r="Q687" s="993">
        <f t="shared" si="2105"/>
        <v>1033</v>
      </c>
      <c r="R687" s="305">
        <f t="shared" si="2105"/>
        <v>109</v>
      </c>
      <c r="S687" s="305">
        <f t="shared" si="2105"/>
        <v>105</v>
      </c>
      <c r="T687" s="305">
        <f t="shared" si="2105"/>
        <v>245</v>
      </c>
      <c r="U687" s="305">
        <f t="shared" si="2105"/>
        <v>418</v>
      </c>
      <c r="V687" s="993">
        <f t="shared" si="2105"/>
        <v>654</v>
      </c>
      <c r="W687" s="305">
        <f t="shared" si="2105"/>
        <v>317</v>
      </c>
      <c r="X687" s="305">
        <f t="shared" si="2105"/>
        <v>272</v>
      </c>
      <c r="Y687" s="305">
        <f t="shared" si="2105"/>
        <v>305</v>
      </c>
      <c r="Z687" s="305">
        <f t="shared" si="2105"/>
        <v>-92</v>
      </c>
      <c r="AA687" s="993">
        <f t="shared" si="2105"/>
        <v>1018</v>
      </c>
      <c r="AB687" s="305">
        <f t="shared" si="2105"/>
        <v>249</v>
      </c>
      <c r="AC687" s="305">
        <f t="shared" si="2105"/>
        <v>169</v>
      </c>
      <c r="AD687" s="305">
        <f t="shared" si="2105"/>
        <v>169</v>
      </c>
      <c r="AE687" s="305">
        <f t="shared" si="2105"/>
        <v>-95</v>
      </c>
      <c r="AF687" s="993">
        <f t="shared" si="2105"/>
        <v>728</v>
      </c>
      <c r="AG687" s="305">
        <f t="shared" si="2105"/>
        <v>328</v>
      </c>
      <c r="AH687" s="305">
        <f t="shared" si="2105"/>
        <v>227</v>
      </c>
      <c r="AI687" s="305">
        <f t="shared" si="2105"/>
        <v>229</v>
      </c>
      <c r="AJ687" s="305">
        <f t="shared" si="2105"/>
        <v>458</v>
      </c>
      <c r="AK687" s="993">
        <f t="shared" si="2105"/>
        <v>991</v>
      </c>
      <c r="AL687" s="305">
        <f t="shared" si="2105"/>
        <v>194</v>
      </c>
      <c r="AM687" s="305">
        <f>AM634-AM688</f>
        <v>273</v>
      </c>
      <c r="AN687" s="305">
        <f>AN634-AN688</f>
        <v>312</v>
      </c>
      <c r="AO687" s="305">
        <f t="shared" si="2106" ref="AO687:AP687">AO634-AO688</f>
        <v>594</v>
      </c>
      <c r="AP687" s="993">
        <f t="shared" si="2106"/>
        <v>1489</v>
      </c>
      <c r="AQ687" s="305">
        <f t="shared" si="2107" ref="AQ687:AV687">AQ634-AQ688</f>
        <v>626</v>
      </c>
      <c r="AR687" s="305">
        <f t="shared" si="2107"/>
        <v>362</v>
      </c>
      <c r="AS687" s="305">
        <f t="shared" si="2107"/>
        <v>20</v>
      </c>
      <c r="AT687" s="305">
        <f t="shared" si="2107"/>
        <v>281</v>
      </c>
      <c r="AU687" s="993">
        <f t="shared" si="2107"/>
        <v>841</v>
      </c>
      <c r="AV687" s="305">
        <f t="shared" si="2107"/>
        <v>151</v>
      </c>
      <c r="AW687" s="305">
        <f t="shared" si="2108" ref="AW687:BB687">AW634-AW688</f>
        <v>-289</v>
      </c>
      <c r="AX687" s="305">
        <f t="shared" si="2108"/>
        <v>-236</v>
      </c>
      <c r="AY687" s="305">
        <f t="shared" si="2108"/>
        <v>-114</v>
      </c>
      <c r="AZ687" s="993">
        <f t="shared" si="2108"/>
        <v>-30</v>
      </c>
      <c r="BA687" s="305">
        <f t="shared" si="2108"/>
        <v>-85</v>
      </c>
      <c r="BB687" s="305">
        <f t="shared" si="2108"/>
        <v>-373</v>
      </c>
      <c r="BC687" s="305">
        <f>BC634-BC688</f>
        <v>-17</v>
      </c>
      <c r="BD687" s="305">
        <f t="shared" si="2109" ref="BD687:BE687">BD634-BD688</f>
        <v>340</v>
      </c>
      <c r="BE687" s="993">
        <f t="shared" si="2109"/>
        <v>114</v>
      </c>
      <c r="BF687" s="305">
        <f>BF634-BF688</f>
        <v>266</v>
      </c>
      <c r="BG687" s="305">
        <f>BG634-BG688</f>
        <v>83</v>
      </c>
      <c r="BH687" s="743">
        <f>BH634-BH688</f>
        <v>254</v>
      </c>
      <c r="BI687" s="92">
        <f>BI684*BI701</f>
        <v>455.80104533469967</v>
      </c>
      <c r="BJ687" s="989">
        <f>SUM(BF687,BG687,BH687,BI687)</f>
        <v>1058.8010453346997</v>
      </c>
      <c r="BK687" s="92">
        <f>BK684*BK701</f>
        <v>371.80109653150697</v>
      </c>
      <c r="BL687" s="92">
        <f>BL684*BL701</f>
        <v>224.32142103013686</v>
      </c>
      <c r="BM687" s="92">
        <f>BM684*BM701</f>
        <v>312.1787858767126</v>
      </c>
      <c r="BN687" s="92">
        <f>BN684*BN701</f>
        <v>427.10072852611012</v>
      </c>
      <c r="BO687" s="989">
        <f>SUM(BK687,BL687,BM687,BN687)</f>
        <v>1335.4020319644665</v>
      </c>
      <c r="BP687" s="989">
        <f>BP684*BP701</f>
        <v>1517.6978065684777</v>
      </c>
      <c r="BQ687" s="989">
        <f>BQ684*BQ701</f>
        <v>1553.6362104090158</v>
      </c>
      <c r="BR687" s="989">
        <f>BR684*BR701</f>
        <v>1595.056798301184</v>
      </c>
      <c r="BS687" s="305"/>
    </row>
    <row r="688" spans="1:71" s="300" customFormat="1" ht="15">
      <c r="A688" s="110" t="s">
        <v>73</v>
      </c>
      <c r="B688" s="395"/>
      <c r="C688" s="998">
        <f t="shared" si="2110" ref="C688:AL688">C646</f>
        <v>412</v>
      </c>
      <c r="D688" s="998">
        <f t="shared" si="2110"/>
        <v>56</v>
      </c>
      <c r="E688" s="998">
        <f t="shared" si="2110"/>
        <v>158</v>
      </c>
      <c r="F688" s="998">
        <f t="shared" si="2110"/>
        <v>705</v>
      </c>
      <c r="G688" s="998">
        <f t="shared" si="2110"/>
        <v>247</v>
      </c>
      <c r="H688" s="58">
        <f t="shared" si="2110"/>
        <v>0</v>
      </c>
      <c r="I688" s="58">
        <f t="shared" si="2110"/>
        <v>0</v>
      </c>
      <c r="J688" s="58">
        <f t="shared" si="2110"/>
        <v>0</v>
      </c>
      <c r="K688" s="58">
        <f t="shared" si="2110"/>
        <v>0</v>
      </c>
      <c r="L688" s="998">
        <f t="shared" si="2110"/>
        <v>263</v>
      </c>
      <c r="M688" s="58">
        <f t="shared" si="2110"/>
        <v>0</v>
      </c>
      <c r="N688" s="58">
        <f t="shared" si="2110"/>
        <v>0</v>
      </c>
      <c r="O688" s="58">
        <f t="shared" si="2110"/>
        <v>0</v>
      </c>
      <c r="P688" s="58">
        <f t="shared" si="2110"/>
        <v>0</v>
      </c>
      <c r="Q688" s="998">
        <f t="shared" si="2110"/>
        <v>78</v>
      </c>
      <c r="R688" s="58">
        <f t="shared" si="2110"/>
        <v>0</v>
      </c>
      <c r="S688" s="58">
        <f t="shared" si="2110"/>
        <v>0</v>
      </c>
      <c r="T688" s="58">
        <f t="shared" si="2110"/>
        <v>0</v>
      </c>
      <c r="U688" s="58">
        <f t="shared" si="2110"/>
        <v>0</v>
      </c>
      <c r="V688" s="998">
        <f t="shared" si="2110"/>
        <v>223</v>
      </c>
      <c r="W688" s="58">
        <f t="shared" si="2110"/>
        <v>0</v>
      </c>
      <c r="X688" s="58">
        <f t="shared" si="2110"/>
        <v>0</v>
      </c>
      <c r="Y688" s="58">
        <f t="shared" si="2110"/>
        <v>0</v>
      </c>
      <c r="Z688" s="58">
        <f t="shared" si="2110"/>
        <v>0</v>
      </c>
      <c r="AA688" s="998">
        <f t="shared" si="2110"/>
        <v>-216</v>
      </c>
      <c r="AB688" s="58">
        <f t="shared" si="2110"/>
        <v>0</v>
      </c>
      <c r="AC688" s="58">
        <f t="shared" si="2110"/>
        <v>0</v>
      </c>
      <c r="AD688" s="58">
        <f t="shared" si="2110"/>
        <v>0</v>
      </c>
      <c r="AE688" s="58">
        <f t="shared" si="2110"/>
        <v>0</v>
      </c>
      <c r="AF688" s="998">
        <f t="shared" si="2110"/>
        <v>-236</v>
      </c>
      <c r="AG688" s="58">
        <f t="shared" si="2110"/>
        <v>0</v>
      </c>
      <c r="AH688" s="58">
        <f t="shared" si="2110"/>
        <v>0</v>
      </c>
      <c r="AI688" s="58">
        <f t="shared" si="2110"/>
        <v>0</v>
      </c>
      <c r="AJ688" s="58">
        <f t="shared" si="2110"/>
        <v>0</v>
      </c>
      <c r="AK688" s="998">
        <f t="shared" si="2110"/>
        <v>251</v>
      </c>
      <c r="AL688" s="58">
        <f t="shared" si="2110"/>
        <v>0</v>
      </c>
      <c r="AM688" s="58">
        <f>AM646</f>
        <v>0</v>
      </c>
      <c r="AN688" s="58">
        <f>AN646</f>
        <v>0</v>
      </c>
      <c r="AO688" s="58">
        <f t="shared" si="2111" ref="AO688:AP688">AO646</f>
        <v>0</v>
      </c>
      <c r="AP688" s="998">
        <f t="shared" si="2111"/>
        <v>-116</v>
      </c>
      <c r="AQ688" s="58">
        <f>AQ646</f>
        <v>0</v>
      </c>
      <c r="AR688" s="58">
        <f>AR646</f>
        <v>0</v>
      </c>
      <c r="AS688" s="58">
        <f>AS646</f>
        <v>0</v>
      </c>
      <c r="AT688" s="115">
        <f>AT646</f>
        <v>0</v>
      </c>
      <c r="AU688" s="995">
        <f t="shared" si="2112" ref="AU688">AU646</f>
        <v>448</v>
      </c>
      <c r="AV688" s="58">
        <f t="shared" si="2113" ref="AV688:BC688">AV646</f>
        <v>0</v>
      </c>
      <c r="AW688" s="58">
        <f t="shared" si="2113"/>
        <v>0</v>
      </c>
      <c r="AX688" s="58">
        <f t="shared" si="2113"/>
        <v>0</v>
      </c>
      <c r="AY688" s="115">
        <f t="shared" si="2113"/>
        <v>0</v>
      </c>
      <c r="AZ688" s="995">
        <f t="shared" si="2113"/>
        <v>-458</v>
      </c>
      <c r="BA688" s="58">
        <f t="shared" si="2113"/>
        <v>0</v>
      </c>
      <c r="BB688" s="58">
        <f t="shared" si="2113"/>
        <v>0</v>
      </c>
      <c r="BC688" s="58">
        <f t="shared" si="2113"/>
        <v>0</v>
      </c>
      <c r="BD688" s="115">
        <f t="shared" si="2114" ref="BD688">BD646</f>
        <v>0</v>
      </c>
      <c r="BE688" s="995">
        <f>BE646</f>
        <v>-249</v>
      </c>
      <c r="BF688" s="115">
        <f t="shared" si="2115" ref="BF688:BG688">BF646</f>
        <v>0</v>
      </c>
      <c r="BG688" s="115">
        <f t="shared" si="2115"/>
        <v>0</v>
      </c>
      <c r="BH688" s="744">
        <f>BH646</f>
        <v>0</v>
      </c>
      <c r="BI688" s="115">
        <f>BI684*BI702</f>
        <v>0</v>
      </c>
      <c r="BJ688" s="995">
        <f>SUM(BF688,BG688,BH688,BI688)</f>
        <v>0</v>
      </c>
      <c r="BK688" s="115">
        <f>BK684*BK702</f>
        <v>0</v>
      </c>
      <c r="BL688" s="115">
        <f>BL684*BL702</f>
        <v>0</v>
      </c>
      <c r="BM688" s="115">
        <f>BM684*BM702</f>
        <v>0</v>
      </c>
      <c r="BN688" s="115">
        <f>BN684*BN702</f>
        <v>0</v>
      </c>
      <c r="BO688" s="995">
        <f>SUM(BK688,BL688,BM688,BN688)</f>
        <v>0</v>
      </c>
      <c r="BP688" s="995">
        <f>BP684*BP702</f>
        <v>0</v>
      </c>
      <c r="BQ688" s="995">
        <f>BQ684*BQ702</f>
        <v>0</v>
      </c>
      <c r="BR688" s="995">
        <f>BR684*BR702</f>
        <v>0</v>
      </c>
      <c r="BS688" s="305"/>
    </row>
    <row r="689" spans="1:71" s="51" customFormat="1" ht="15">
      <c r="A689" s="87" t="s">
        <v>74</v>
      </c>
      <c r="B689" s="506"/>
      <c r="C689" s="996">
        <f t="shared" si="2116" ref="C689:AK689">C684-SUM(C687:C688)</f>
        <v>854</v>
      </c>
      <c r="D689" s="996">
        <f t="shared" si="2116"/>
        <v>928</v>
      </c>
      <c r="E689" s="996">
        <f t="shared" si="2116"/>
        <v>787</v>
      </c>
      <c r="F689" s="996">
        <f t="shared" si="2116"/>
        <v>2306</v>
      </c>
      <c r="G689" s="996">
        <f t="shared" si="2116"/>
        <v>2280</v>
      </c>
      <c r="H689" s="89">
        <f t="shared" si="2116"/>
        <v>600</v>
      </c>
      <c r="I689" s="89">
        <f t="shared" si="2116"/>
        <v>645</v>
      </c>
      <c r="J689" s="89">
        <f t="shared" si="2116"/>
        <v>781</v>
      </c>
      <c r="K689" s="89">
        <f t="shared" si="2116"/>
        <v>824</v>
      </c>
      <c r="L689" s="996">
        <f t="shared" si="2116"/>
        <v>2850</v>
      </c>
      <c r="M689" s="89">
        <f t="shared" si="2116"/>
        <v>677</v>
      </c>
      <c r="N689" s="89">
        <f t="shared" si="2116"/>
        <v>355</v>
      </c>
      <c r="O689" s="89">
        <f t="shared" si="2116"/>
        <v>650</v>
      </c>
      <c r="P689" s="89">
        <f t="shared" si="2116"/>
        <v>489</v>
      </c>
      <c r="Q689" s="996">
        <f t="shared" si="2116"/>
        <v>2171</v>
      </c>
      <c r="R689" s="89">
        <f t="shared" si="2116"/>
        <v>246</v>
      </c>
      <c r="S689" s="89">
        <f t="shared" si="2116"/>
        <v>271</v>
      </c>
      <c r="T689" s="89">
        <f t="shared" si="2116"/>
        <v>520</v>
      </c>
      <c r="U689" s="89">
        <f t="shared" si="2116"/>
        <v>840</v>
      </c>
      <c r="V689" s="996">
        <f t="shared" si="2116"/>
        <v>1877</v>
      </c>
      <c r="W689" s="89">
        <f t="shared" si="2116"/>
        <v>695</v>
      </c>
      <c r="X689" s="89">
        <f t="shared" si="2116"/>
        <v>579</v>
      </c>
      <c r="Y689" s="89">
        <f t="shared" si="2116"/>
        <v>666</v>
      </c>
      <c r="Z689" s="89">
        <f t="shared" si="2116"/>
        <v>1249</v>
      </c>
      <c r="AA689" s="996">
        <f t="shared" si="2116"/>
        <v>3189</v>
      </c>
      <c r="AB689" s="89">
        <f t="shared" si="2116"/>
        <v>975</v>
      </c>
      <c r="AC689" s="89">
        <f t="shared" si="2116"/>
        <v>676</v>
      </c>
      <c r="AD689" s="89">
        <f t="shared" si="2116"/>
        <v>870</v>
      </c>
      <c r="AE689" s="89">
        <f t="shared" si="2116"/>
        <v>-269</v>
      </c>
      <c r="AF689" s="996">
        <f t="shared" si="2116"/>
        <v>2252</v>
      </c>
      <c r="AG689" s="89">
        <f t="shared" si="2116"/>
        <v>1292</v>
      </c>
      <c r="AH689" s="89">
        <f t="shared" si="2116"/>
        <v>851</v>
      </c>
      <c r="AI689" s="89">
        <f t="shared" si="2116"/>
        <v>931</v>
      </c>
      <c r="AJ689" s="89">
        <f t="shared" si="2116"/>
        <v>1773</v>
      </c>
      <c r="AK689" s="996">
        <f t="shared" si="2116"/>
        <v>4847</v>
      </c>
      <c r="AL689" s="89">
        <f>AL684-SUM(AL687:AL688)</f>
        <v>837</v>
      </c>
      <c r="AM689" s="89">
        <f>AM684-SUM(AM687:AM688)</f>
        <v>1106</v>
      </c>
      <c r="AN689" s="89">
        <f>AN684-SUM(AN687:AN688)</f>
        <v>1216</v>
      </c>
      <c r="AO689" s="89">
        <f t="shared" si="2117" ref="AO689:AP689">AO684-SUM(AO687:AO688)</f>
        <v>2270</v>
      </c>
      <c r="AP689" s="996">
        <f t="shared" si="2117"/>
        <v>5429</v>
      </c>
      <c r="AQ689" s="89">
        <f t="shared" si="2118" ref="AQ689:AV689">AQ684-SUM(AQ687:AQ688)</f>
        <v>2406</v>
      </c>
      <c r="AR689" s="89">
        <f t="shared" si="2118"/>
        <v>1435</v>
      </c>
      <c r="AS689" s="89">
        <f t="shared" si="2118"/>
        <v>206</v>
      </c>
      <c r="AT689" s="89">
        <f t="shared" si="2118"/>
        <v>1112</v>
      </c>
      <c r="AU689" s="996">
        <f t="shared" si="2118"/>
        <v>5159</v>
      </c>
      <c r="AV689" s="89">
        <f t="shared" si="2118"/>
        <v>650</v>
      </c>
      <c r="AW689" s="89">
        <f t="shared" si="2119" ref="AW689:BJ689">AW684-SUM(AW687:AW688)</f>
        <v>-1022</v>
      </c>
      <c r="AX689" s="89">
        <f t="shared" si="2119"/>
        <v>-674</v>
      </c>
      <c r="AY689" s="89">
        <f t="shared" si="2119"/>
        <v>-296</v>
      </c>
      <c r="AZ689" s="996">
        <f t="shared" si="2119"/>
        <v>-1342</v>
      </c>
      <c r="BA689" s="89">
        <f t="shared" si="2120" ref="BA689:BI689">BA684-SUM(BA687:BA688)</f>
        <v>-321</v>
      </c>
      <c r="BB689" s="89">
        <f t="shared" si="2120"/>
        <v>-1375</v>
      </c>
      <c r="BC689" s="89">
        <f t="shared" si="2120"/>
        <v>-4</v>
      </c>
      <c r="BD689" s="89">
        <f t="shared" si="2120"/>
        <v>1487</v>
      </c>
      <c r="BE689" s="996">
        <f t="shared" si="2120"/>
        <v>-213</v>
      </c>
      <c r="BF689" s="89">
        <f>BF684-SUM(BF687:BF688)</f>
        <v>1198</v>
      </c>
      <c r="BG689" s="89">
        <f>BG684-SUM(BG687:BG688)</f>
        <v>347</v>
      </c>
      <c r="BH689" s="742">
        <f>BH684-SUM(BH687:BH688)</f>
        <v>1164</v>
      </c>
      <c r="BI689" s="90">
        <f t="shared" si="2120"/>
        <v>1367.403136004099</v>
      </c>
      <c r="BJ689" s="997">
        <f t="shared" si="2119"/>
        <v>4076.403136004099</v>
      </c>
      <c r="BK689" s="90">
        <f t="shared" si="2121" ref="BK689:BR689">BK684-SUM(BK687:BK688)</f>
        <v>1487.2043861260277</v>
      </c>
      <c r="BL689" s="90">
        <f t="shared" si="2121"/>
        <v>897.28568412054733</v>
      </c>
      <c r="BM689" s="90">
        <f t="shared" si="2121"/>
        <v>1248.7151435068504</v>
      </c>
      <c r="BN689" s="90">
        <f t="shared" si="2121"/>
        <v>1708.4029141044405</v>
      </c>
      <c r="BO689" s="997">
        <f t="shared" si="2121"/>
        <v>5341.608127857864</v>
      </c>
      <c r="BP689" s="997">
        <f t="shared" si="2121"/>
        <v>5709.4346056623654</v>
      </c>
      <c r="BQ689" s="997">
        <f t="shared" si="2121"/>
        <v>5844.631458205341</v>
      </c>
      <c r="BR689" s="997">
        <f t="shared" si="2121"/>
        <v>6000.4517650377838</v>
      </c>
      <c r="BS689" s="57"/>
    </row>
    <row r="690" spans="1:71" s="300" customFormat="1" ht="15">
      <c r="A690" s="304" t="s">
        <v>75</v>
      </c>
      <c r="B690" s="166"/>
      <c r="C690" s="989"/>
      <c r="D690" s="989"/>
      <c r="E690" s="989"/>
      <c r="F690" s="989"/>
      <c r="G690" s="989"/>
      <c r="H690" s="92"/>
      <c r="I690" s="92"/>
      <c r="J690" s="92"/>
      <c r="K690" s="92"/>
      <c r="L690" s="989"/>
      <c r="M690" s="92"/>
      <c r="N690" s="92"/>
      <c r="O690" s="92"/>
      <c r="P690" s="92"/>
      <c r="Q690" s="989"/>
      <c r="R690" s="92"/>
      <c r="S690" s="92"/>
      <c r="T690" s="92"/>
      <c r="U690" s="92"/>
      <c r="V690" s="989"/>
      <c r="W690" s="92"/>
      <c r="X690" s="92"/>
      <c r="Y690" s="92"/>
      <c r="Z690" s="92"/>
      <c r="AA690" s="989"/>
      <c r="AB690" s="92"/>
      <c r="AC690" s="92"/>
      <c r="AD690" s="92"/>
      <c r="AE690" s="92"/>
      <c r="AF690" s="989"/>
      <c r="AG690" s="92"/>
      <c r="AH690" s="92"/>
      <c r="AI690" s="92"/>
      <c r="AJ690" s="92"/>
      <c r="AK690" s="989"/>
      <c r="AL690" s="92"/>
      <c r="AM690" s="92"/>
      <c r="AN690" s="92"/>
      <c r="AO690" s="92"/>
      <c r="AP690" s="989"/>
      <c r="AQ690" s="92"/>
      <c r="AR690" s="92"/>
      <c r="AS690" s="92"/>
      <c r="AT690" s="92"/>
      <c r="AU690" s="989"/>
      <c r="AV690" s="92"/>
      <c r="AW690" s="92"/>
      <c r="AX690" s="92"/>
      <c r="AY690" s="92"/>
      <c r="AZ690" s="989"/>
      <c r="BA690" s="92"/>
      <c r="BB690" s="92"/>
      <c r="BC690" s="92"/>
      <c r="BD690" s="92"/>
      <c r="BE690" s="989"/>
      <c r="BF690" s="92"/>
      <c r="BG690" s="92"/>
      <c r="BH690" s="464"/>
      <c r="BI690" s="92"/>
      <c r="BJ690" s="989">
        <f>SUM(BF690,BG690,BH690,BI690)</f>
        <v>0</v>
      </c>
      <c r="BK690" s="92"/>
      <c r="BL690" s="92"/>
      <c r="BM690" s="92"/>
      <c r="BN690" s="92"/>
      <c r="BO690" s="989">
        <f>SUM(BK690,BL690,BM690,BN690)</f>
        <v>0</v>
      </c>
      <c r="BP690" s="989"/>
      <c r="BQ690" s="989"/>
      <c r="BR690" s="989"/>
      <c r="BS690" s="305"/>
    </row>
    <row r="691" spans="1:71" s="300" customFormat="1" ht="15">
      <c r="A691" s="304" t="s">
        <v>76</v>
      </c>
      <c r="B691" s="166"/>
      <c r="C691" s="989"/>
      <c r="D691" s="989"/>
      <c r="E691" s="989"/>
      <c r="F691" s="989"/>
      <c r="G691" s="989"/>
      <c r="H691" s="92"/>
      <c r="I691" s="92"/>
      <c r="J691" s="92"/>
      <c r="K691" s="92"/>
      <c r="L691" s="989"/>
      <c r="M691" s="92"/>
      <c r="N691" s="92"/>
      <c r="O691" s="92"/>
      <c r="P691" s="92"/>
      <c r="Q691" s="989"/>
      <c r="R691" s="92"/>
      <c r="S691" s="92"/>
      <c r="T691" s="92"/>
      <c r="U691" s="92"/>
      <c r="V691" s="989"/>
      <c r="W691" s="92"/>
      <c r="X691" s="92"/>
      <c r="Y691" s="92"/>
      <c r="Z691" s="92"/>
      <c r="AA691" s="989"/>
      <c r="AB691" s="92"/>
      <c r="AC691" s="92"/>
      <c r="AD691" s="92"/>
      <c r="AE691" s="92"/>
      <c r="AF691" s="989"/>
      <c r="AG691" s="92"/>
      <c r="AH691" s="92"/>
      <c r="AI691" s="92"/>
      <c r="AJ691" s="92"/>
      <c r="AK691" s="989"/>
      <c r="AL691" s="92">
        <f t="shared" si="2122" ref="AL691:AP691">-AL636</f>
        <v>288</v>
      </c>
      <c r="AM691" s="92">
        <f t="shared" si="2122"/>
        <v>-144</v>
      </c>
      <c r="AN691" s="92">
        <f t="shared" si="2122"/>
        <v>63</v>
      </c>
      <c r="AO691" s="92">
        <f t="shared" si="2122"/>
        <v>-354</v>
      </c>
      <c r="AP691" s="989">
        <f t="shared" si="2122"/>
        <v>-147</v>
      </c>
      <c r="AQ691" s="92">
        <f t="shared" si="2123" ref="AQ691:AV691">-AQ636</f>
        <v>3793</v>
      </c>
      <c r="AR691" s="92">
        <f t="shared" si="2123"/>
        <v>-196</v>
      </c>
      <c r="AS691" s="92">
        <f t="shared" si="2123"/>
        <v>-325</v>
      </c>
      <c r="AT691" s="92">
        <f t="shared" si="2123"/>
        <v>321</v>
      </c>
      <c r="AU691" s="989">
        <f t="shared" si="2123"/>
        <v>3593</v>
      </c>
      <c r="AV691" s="92">
        <f t="shared" si="2123"/>
        <v>0</v>
      </c>
      <c r="AW691" s="92">
        <f t="shared" si="2124" ref="AW691:BB691">-AW636</f>
        <v>0</v>
      </c>
      <c r="AX691" s="92">
        <f t="shared" si="2124"/>
        <v>0</v>
      </c>
      <c r="AY691" s="92">
        <f t="shared" si="2124"/>
        <v>0</v>
      </c>
      <c r="AZ691" s="989">
        <f t="shared" si="2124"/>
        <v>0</v>
      </c>
      <c r="BA691" s="92">
        <f t="shared" si="2124"/>
        <v>0</v>
      </c>
      <c r="BB691" s="92">
        <f t="shared" si="2124"/>
        <v>0</v>
      </c>
      <c r="BC691" s="92">
        <f>-BC636</f>
        <v>0</v>
      </c>
      <c r="BD691" s="92">
        <f t="shared" si="2125" ref="BD691:BE691">-BD636</f>
        <v>0</v>
      </c>
      <c r="BE691" s="989">
        <f t="shared" si="2125"/>
        <v>0</v>
      </c>
      <c r="BF691" s="92">
        <f>-BF636</f>
        <v>0</v>
      </c>
      <c r="BG691" s="92">
        <f>-BG636</f>
        <v>0</v>
      </c>
      <c r="BH691" s="464">
        <f>-BH636</f>
        <v>0</v>
      </c>
      <c r="BI691" s="92"/>
      <c r="BJ691" s="989">
        <f>SUM(BF691,BG691,BH691,BI691)</f>
        <v>0</v>
      </c>
      <c r="BK691" s="92"/>
      <c r="BL691" s="92"/>
      <c r="BM691" s="92"/>
      <c r="BN691" s="92"/>
      <c r="BO691" s="989">
        <f>SUM(BK691,BL691,BM691,BN691)</f>
        <v>0</v>
      </c>
      <c r="BP691" s="989"/>
      <c r="BQ691" s="989"/>
      <c r="BR691" s="989"/>
      <c r="BS691" s="305"/>
    </row>
    <row r="692" spans="1:71" s="300" customFormat="1" ht="15">
      <c r="A692" s="304" t="s">
        <v>77</v>
      </c>
      <c r="B692" s="166"/>
      <c r="C692" s="989"/>
      <c r="D692" s="989"/>
      <c r="E692" s="989"/>
      <c r="F692" s="989"/>
      <c r="G692" s="989"/>
      <c r="H692" s="92"/>
      <c r="I692" s="92"/>
      <c r="J692" s="92"/>
      <c r="K692" s="92"/>
      <c r="L692" s="989"/>
      <c r="M692" s="92"/>
      <c r="N692" s="92"/>
      <c r="O692" s="92"/>
      <c r="P692" s="92"/>
      <c r="Q692" s="989"/>
      <c r="R692" s="92"/>
      <c r="S692" s="92"/>
      <c r="T692" s="92"/>
      <c r="U692" s="92"/>
      <c r="V692" s="989"/>
      <c r="W692" s="92"/>
      <c r="X692" s="92"/>
      <c r="Y692" s="92"/>
      <c r="Z692" s="92"/>
      <c r="AA692" s="989"/>
      <c r="AB692" s="92"/>
      <c r="AC692" s="92"/>
      <c r="AD692" s="92"/>
      <c r="AE692" s="92"/>
      <c r="AF692" s="989"/>
      <c r="AG692" s="92"/>
      <c r="AH692" s="92"/>
      <c r="AI692" s="92"/>
      <c r="AJ692" s="92"/>
      <c r="AK692" s="989"/>
      <c r="AL692" s="92">
        <f t="shared" si="2126" ref="AL692:AP692">AL638</f>
        <v>0</v>
      </c>
      <c r="AM692" s="92">
        <f t="shared" si="2126"/>
        <v>0</v>
      </c>
      <c r="AN692" s="92">
        <f t="shared" si="2126"/>
        <v>0</v>
      </c>
      <c r="AO692" s="92">
        <f t="shared" si="2126"/>
        <v>0</v>
      </c>
      <c r="AP692" s="989">
        <f t="shared" si="2126"/>
        <v>0</v>
      </c>
      <c r="AQ692" s="92">
        <f t="shared" si="2127" ref="AQ692:AV692">AQ638</f>
        <v>-6</v>
      </c>
      <c r="AR692" s="92">
        <f t="shared" si="2127"/>
        <v>6</v>
      </c>
      <c r="AS692" s="92">
        <f t="shared" si="2127"/>
        <v>-7</v>
      </c>
      <c r="AT692" s="92">
        <f t="shared" si="2127"/>
        <v>-26</v>
      </c>
      <c r="AU692" s="989">
        <f t="shared" si="2127"/>
        <v>-33</v>
      </c>
      <c r="AV692" s="92">
        <f t="shared" si="2127"/>
        <v>-10</v>
      </c>
      <c r="AW692" s="92">
        <f t="shared" si="2128" ref="AW692:BB692">AW638</f>
        <v>-9</v>
      </c>
      <c r="AX692" s="92">
        <f t="shared" si="2128"/>
        <v>-15</v>
      </c>
      <c r="AY692" s="92">
        <f t="shared" si="2128"/>
        <v>-19</v>
      </c>
      <c r="AZ692" s="989">
        <f t="shared" si="2128"/>
        <v>-53</v>
      </c>
      <c r="BA692" s="92">
        <f t="shared" si="2128"/>
        <v>-1</v>
      </c>
      <c r="BB692" s="92">
        <f t="shared" si="2128"/>
        <v>-23</v>
      </c>
      <c r="BC692" s="92">
        <f>BC638</f>
        <v>1</v>
      </c>
      <c r="BD692" s="92">
        <f t="shared" si="2129" ref="BD692:BE692">BD638</f>
        <v>-2</v>
      </c>
      <c r="BE692" s="989">
        <f t="shared" si="2129"/>
        <v>-25</v>
      </c>
      <c r="BF692" s="92">
        <f>BF638</f>
        <v>-20</v>
      </c>
      <c r="BG692" s="92">
        <f>BG638</f>
        <v>16</v>
      </c>
      <c r="BH692" s="464">
        <f>BH638</f>
        <v>-26</v>
      </c>
      <c r="BI692" s="92"/>
      <c r="BJ692" s="989">
        <f>SUM(BF692,BG692,BH692,BI692)</f>
        <v>-30</v>
      </c>
      <c r="BK692" s="92"/>
      <c r="BL692" s="92"/>
      <c r="BM692" s="92"/>
      <c r="BN692" s="92"/>
      <c r="BO692" s="989">
        <f>SUM(BK692,BL692,BM692,BN692)</f>
        <v>0</v>
      </c>
      <c r="BP692" s="989"/>
      <c r="BQ692" s="989"/>
      <c r="BR692" s="989"/>
      <c r="BS692" s="305"/>
    </row>
    <row r="693" spans="1:71" s="300" customFormat="1" ht="15">
      <c r="A693" s="110" t="s">
        <v>78</v>
      </c>
      <c r="B693" s="395"/>
      <c r="C693" s="998">
        <f t="shared" si="2130" ref="C693:AL693">C640</f>
        <v>0</v>
      </c>
      <c r="D693" s="998">
        <f t="shared" si="2130"/>
        <v>0</v>
      </c>
      <c r="E693" s="998">
        <f t="shared" si="2130"/>
        <v>0</v>
      </c>
      <c r="F693" s="998">
        <f t="shared" si="2130"/>
        <v>0</v>
      </c>
      <c r="G693" s="998">
        <f t="shared" si="2130"/>
        <v>17</v>
      </c>
      <c r="H693" s="58">
        <f t="shared" si="2130"/>
        <v>13</v>
      </c>
      <c r="I693" s="58">
        <f t="shared" si="2130"/>
        <v>31</v>
      </c>
      <c r="J693" s="58">
        <f t="shared" si="2130"/>
        <v>31</v>
      </c>
      <c r="K693" s="58">
        <f t="shared" si="2130"/>
        <v>29</v>
      </c>
      <c r="L693" s="998">
        <f t="shared" si="2130"/>
        <v>104</v>
      </c>
      <c r="M693" s="58">
        <f t="shared" si="2130"/>
        <v>29</v>
      </c>
      <c r="N693" s="58">
        <f t="shared" si="2130"/>
        <v>29</v>
      </c>
      <c r="O693" s="58">
        <f t="shared" si="2130"/>
        <v>29</v>
      </c>
      <c r="P693" s="58">
        <f t="shared" si="2130"/>
        <v>29</v>
      </c>
      <c r="Q693" s="998">
        <f t="shared" si="2130"/>
        <v>116</v>
      </c>
      <c r="R693" s="58">
        <f t="shared" si="2130"/>
        <v>29</v>
      </c>
      <c r="S693" s="58">
        <f t="shared" si="2130"/>
        <v>29</v>
      </c>
      <c r="T693" s="58">
        <f t="shared" si="2130"/>
        <v>29</v>
      </c>
      <c r="U693" s="58">
        <f t="shared" si="2130"/>
        <v>29</v>
      </c>
      <c r="V693" s="998">
        <f t="shared" si="2130"/>
        <v>116</v>
      </c>
      <c r="W693" s="58">
        <f t="shared" si="2130"/>
        <v>29</v>
      </c>
      <c r="X693" s="58">
        <f t="shared" si="2130"/>
        <v>29</v>
      </c>
      <c r="Y693" s="58">
        <f t="shared" si="2130"/>
        <v>29</v>
      </c>
      <c r="Z693" s="58">
        <f t="shared" si="2130"/>
        <v>29</v>
      </c>
      <c r="AA693" s="998">
        <f t="shared" si="2130"/>
        <v>116</v>
      </c>
      <c r="AB693" s="58">
        <f t="shared" si="2130"/>
        <v>29</v>
      </c>
      <c r="AC693" s="58">
        <f t="shared" si="2130"/>
        <v>39</v>
      </c>
      <c r="AD693" s="58">
        <f t="shared" si="2130"/>
        <v>37</v>
      </c>
      <c r="AE693" s="58">
        <f t="shared" si="2130"/>
        <v>43</v>
      </c>
      <c r="AF693" s="998">
        <f t="shared" si="2130"/>
        <v>148</v>
      </c>
      <c r="AG693" s="58">
        <f t="shared" si="2130"/>
        <v>31</v>
      </c>
      <c r="AH693" s="58">
        <f t="shared" si="2130"/>
        <v>30</v>
      </c>
      <c r="AI693" s="58">
        <f t="shared" si="2130"/>
        <v>42</v>
      </c>
      <c r="AJ693" s="58">
        <f t="shared" si="2130"/>
        <v>66</v>
      </c>
      <c r="AK693" s="998">
        <f t="shared" si="2130"/>
        <v>169</v>
      </c>
      <c r="AL693" s="58">
        <f t="shared" si="2130"/>
        <v>36</v>
      </c>
      <c r="AM693" s="58">
        <f>AM640</f>
        <v>26</v>
      </c>
      <c r="AN693" s="58">
        <f>AN640</f>
        <v>27</v>
      </c>
      <c r="AO693" s="58">
        <f t="shared" si="2131" ref="AO693:AP693">AO640</f>
        <v>26</v>
      </c>
      <c r="AP693" s="998">
        <f t="shared" si="2131"/>
        <v>115</v>
      </c>
      <c r="AQ693" s="58">
        <f t="shared" si="2132" ref="AQ693:AV693">AQ640</f>
        <v>27</v>
      </c>
      <c r="AR693" s="58">
        <f t="shared" si="2132"/>
        <v>30</v>
      </c>
      <c r="AS693" s="58">
        <f t="shared" si="2132"/>
        <v>30</v>
      </c>
      <c r="AT693" s="58">
        <f t="shared" si="2132"/>
        <v>27</v>
      </c>
      <c r="AU693" s="998">
        <f t="shared" si="2132"/>
        <v>114</v>
      </c>
      <c r="AV693" s="58">
        <f t="shared" si="2132"/>
        <v>26</v>
      </c>
      <c r="AW693" s="58">
        <f t="shared" si="2133" ref="AW693:BB693">AW640</f>
        <v>27</v>
      </c>
      <c r="AX693" s="58">
        <f t="shared" si="2133"/>
        <v>26</v>
      </c>
      <c r="AY693" s="58">
        <f t="shared" si="2133"/>
        <v>26</v>
      </c>
      <c r="AZ693" s="998">
        <f t="shared" si="2133"/>
        <v>105</v>
      </c>
      <c r="BA693" s="58">
        <f t="shared" si="2133"/>
        <v>26</v>
      </c>
      <c r="BB693" s="58">
        <f t="shared" si="2133"/>
        <v>37</v>
      </c>
      <c r="BC693" s="58">
        <f>BC640</f>
        <v>36</v>
      </c>
      <c r="BD693" s="58">
        <f t="shared" si="2134" ref="BD693:BE693">BD640</f>
        <v>29</v>
      </c>
      <c r="BE693" s="998">
        <f t="shared" si="2134"/>
        <v>128</v>
      </c>
      <c r="BF693" s="58">
        <f>BF640</f>
        <v>29</v>
      </c>
      <c r="BG693" s="58">
        <f>BG640</f>
        <v>30</v>
      </c>
      <c r="BH693" s="744">
        <f>BH640</f>
        <v>29</v>
      </c>
      <c r="BI693" s="900">
        <v>30</v>
      </c>
      <c r="BJ693" s="995">
        <f>SUM(BF693,BG693,BH693,BI693)</f>
        <v>118</v>
      </c>
      <c r="BK693" s="900">
        <v>30</v>
      </c>
      <c r="BL693" s="900">
        <v>30</v>
      </c>
      <c r="BM693" s="900">
        <v>30</v>
      </c>
      <c r="BN693" s="900">
        <v>30</v>
      </c>
      <c r="BO693" s="995">
        <f>SUM(BK693,BL693,BM693,BN693)</f>
        <v>120</v>
      </c>
      <c r="BP693" s="990">
        <v>120</v>
      </c>
      <c r="BQ693" s="990">
        <v>120</v>
      </c>
      <c r="BR693" s="990">
        <v>120</v>
      </c>
      <c r="BS693" s="305"/>
    </row>
    <row r="694" spans="1:71" s="51" customFormat="1" ht="15">
      <c r="A694" s="120" t="s">
        <v>79</v>
      </c>
      <c r="B694" s="507"/>
      <c r="C694" s="1045">
        <f t="shared" si="2135" ref="C694:AK694">C689-SUM(C690:C693)</f>
        <v>854</v>
      </c>
      <c r="D694" s="1045">
        <f t="shared" si="2135"/>
        <v>928</v>
      </c>
      <c r="E694" s="1045">
        <f t="shared" si="2135"/>
        <v>787</v>
      </c>
      <c r="F694" s="1045">
        <f t="shared" si="2135"/>
        <v>2306</v>
      </c>
      <c r="G694" s="1045">
        <f t="shared" si="2135"/>
        <v>2263</v>
      </c>
      <c r="H694" s="96">
        <f t="shared" si="2135"/>
        <v>587</v>
      </c>
      <c r="I694" s="96">
        <f t="shared" si="2135"/>
        <v>614</v>
      </c>
      <c r="J694" s="96">
        <f t="shared" si="2135"/>
        <v>750</v>
      </c>
      <c r="K694" s="96">
        <f t="shared" si="2135"/>
        <v>795</v>
      </c>
      <c r="L694" s="1045">
        <f t="shared" si="2135"/>
        <v>2746</v>
      </c>
      <c r="M694" s="96">
        <f t="shared" si="2135"/>
        <v>648</v>
      </c>
      <c r="N694" s="96">
        <f t="shared" si="2135"/>
        <v>326</v>
      </c>
      <c r="O694" s="96">
        <f t="shared" si="2135"/>
        <v>621</v>
      </c>
      <c r="P694" s="96">
        <f t="shared" si="2135"/>
        <v>460</v>
      </c>
      <c r="Q694" s="1045">
        <f t="shared" si="2135"/>
        <v>2055</v>
      </c>
      <c r="R694" s="96">
        <f t="shared" si="2135"/>
        <v>217</v>
      </c>
      <c r="S694" s="96">
        <f t="shared" si="2135"/>
        <v>242</v>
      </c>
      <c r="T694" s="96">
        <f t="shared" si="2135"/>
        <v>491</v>
      </c>
      <c r="U694" s="96">
        <f t="shared" si="2135"/>
        <v>811</v>
      </c>
      <c r="V694" s="1045">
        <f t="shared" si="2135"/>
        <v>1761</v>
      </c>
      <c r="W694" s="96">
        <f t="shared" si="2135"/>
        <v>666</v>
      </c>
      <c r="X694" s="96">
        <f t="shared" si="2135"/>
        <v>550</v>
      </c>
      <c r="Y694" s="96">
        <f t="shared" si="2135"/>
        <v>637</v>
      </c>
      <c r="Z694" s="96">
        <f t="shared" si="2135"/>
        <v>1220</v>
      </c>
      <c r="AA694" s="1045">
        <f t="shared" si="2135"/>
        <v>3073</v>
      </c>
      <c r="AB694" s="96">
        <f t="shared" si="2135"/>
        <v>946</v>
      </c>
      <c r="AC694" s="96">
        <f t="shared" si="2135"/>
        <v>637</v>
      </c>
      <c r="AD694" s="96">
        <f t="shared" si="2135"/>
        <v>833</v>
      </c>
      <c r="AE694" s="96">
        <f t="shared" si="2135"/>
        <v>-312</v>
      </c>
      <c r="AF694" s="1045">
        <f t="shared" si="2135"/>
        <v>2104</v>
      </c>
      <c r="AG694" s="96">
        <f t="shared" si="2135"/>
        <v>1261</v>
      </c>
      <c r="AH694" s="96">
        <f t="shared" si="2135"/>
        <v>821</v>
      </c>
      <c r="AI694" s="96">
        <f t="shared" si="2135"/>
        <v>889</v>
      </c>
      <c r="AJ694" s="96">
        <f t="shared" si="2135"/>
        <v>1707</v>
      </c>
      <c r="AK694" s="1045">
        <f t="shared" si="2135"/>
        <v>4678</v>
      </c>
      <c r="AL694" s="96">
        <f>AL689-SUM(AL690:AL693)</f>
        <v>513</v>
      </c>
      <c r="AM694" s="96">
        <f>AM689-SUM(AM690:AM693)</f>
        <v>1224</v>
      </c>
      <c r="AN694" s="96">
        <f>AN689-SUM(AN690:AN693)</f>
        <v>1126</v>
      </c>
      <c r="AO694" s="96">
        <f t="shared" si="2136" ref="AO694:AP694">AO689-SUM(AO690:AO693)</f>
        <v>2598</v>
      </c>
      <c r="AP694" s="1045">
        <f t="shared" si="2136"/>
        <v>5461</v>
      </c>
      <c r="AQ694" s="96">
        <f t="shared" si="2137" ref="AQ694:AV694">AQ689-SUM(AQ690:AQ693)</f>
        <v>-1408</v>
      </c>
      <c r="AR694" s="96">
        <f t="shared" si="2137"/>
        <v>1595</v>
      </c>
      <c r="AS694" s="96">
        <f t="shared" si="2137"/>
        <v>508</v>
      </c>
      <c r="AT694" s="96">
        <f t="shared" si="2137"/>
        <v>790</v>
      </c>
      <c r="AU694" s="1045">
        <f t="shared" si="2137"/>
        <v>1485</v>
      </c>
      <c r="AV694" s="96">
        <f t="shared" si="2137"/>
        <v>634</v>
      </c>
      <c r="AW694" s="96">
        <f t="shared" si="2138" ref="AW694:BJ694">AW689-SUM(AW690:AW693)</f>
        <v>-1040</v>
      </c>
      <c r="AX694" s="96">
        <f t="shared" si="2138"/>
        <v>-685</v>
      </c>
      <c r="AY694" s="96">
        <f t="shared" si="2138"/>
        <v>-303</v>
      </c>
      <c r="AZ694" s="1045">
        <f t="shared" si="2138"/>
        <v>-1394</v>
      </c>
      <c r="BA694" s="96">
        <f t="shared" si="2139" ref="BA694:BI694">BA689-SUM(BA690:BA693)</f>
        <v>-346</v>
      </c>
      <c r="BB694" s="96">
        <f t="shared" si="2139"/>
        <v>-1389</v>
      </c>
      <c r="BC694" s="96">
        <f t="shared" si="2139"/>
        <v>-41</v>
      </c>
      <c r="BD694" s="96">
        <f t="shared" si="2139"/>
        <v>1460</v>
      </c>
      <c r="BE694" s="1045">
        <f t="shared" si="2139"/>
        <v>-316</v>
      </c>
      <c r="BF694" s="96">
        <f>BF689-SUM(BF690:BF693)</f>
        <v>1189</v>
      </c>
      <c r="BG694" s="96">
        <f>BG689-SUM(BG690:BG693)</f>
        <v>301</v>
      </c>
      <c r="BH694" s="803">
        <f>BH689-SUM(BH690:BH693)</f>
        <v>1161</v>
      </c>
      <c r="BI694" s="97">
        <f t="shared" si="2139"/>
        <v>1337.403136004099</v>
      </c>
      <c r="BJ694" s="1046">
        <f t="shared" si="2138"/>
        <v>3988.403136004099</v>
      </c>
      <c r="BK694" s="97">
        <f t="shared" si="2140" ref="BK694:BR694">BK689-SUM(BK690:BK693)</f>
        <v>1457.2043861260277</v>
      </c>
      <c r="BL694" s="97">
        <f t="shared" si="2140"/>
        <v>867.28568412054733</v>
      </c>
      <c r="BM694" s="97">
        <f t="shared" si="2140"/>
        <v>1218.7151435068504</v>
      </c>
      <c r="BN694" s="97">
        <f t="shared" si="2140"/>
        <v>1678.4029141044405</v>
      </c>
      <c r="BO694" s="1046">
        <f t="shared" si="2140"/>
        <v>5221.608127857864</v>
      </c>
      <c r="BP694" s="1046">
        <f t="shared" si="2140"/>
        <v>5589.4346056623654</v>
      </c>
      <c r="BQ694" s="1046">
        <f t="shared" si="2140"/>
        <v>5724.631458205341</v>
      </c>
      <c r="BR694" s="1046">
        <f t="shared" si="2140"/>
        <v>5880.4517650377838</v>
      </c>
      <c r="BS694" s="57"/>
    </row>
    <row r="695" spans="1:71" s="300" customFormat="1" ht="15">
      <c r="A695" s="346" t="s">
        <v>80</v>
      </c>
      <c r="B695" s="511"/>
      <c r="C695" s="1042"/>
      <c r="D695" s="1042"/>
      <c r="E695" s="1042"/>
      <c r="F695" s="1042"/>
      <c r="G695" s="1042"/>
      <c r="H695" s="466"/>
      <c r="I695" s="466"/>
      <c r="J695" s="466"/>
      <c r="K695" s="466"/>
      <c r="L695" s="1042"/>
      <c r="M695" s="466"/>
      <c r="N695" s="466"/>
      <c r="O695" s="466"/>
      <c r="P695" s="466"/>
      <c r="Q695" s="1042"/>
      <c r="R695" s="466"/>
      <c r="S695" s="466"/>
      <c r="T695" s="466"/>
      <c r="U695" s="466"/>
      <c r="V695" s="1042"/>
      <c r="W695" s="466"/>
      <c r="X695" s="466"/>
      <c r="Y695" s="466"/>
      <c r="Z695" s="466"/>
      <c r="AA695" s="1042"/>
      <c r="AB695" s="466"/>
      <c r="AC695" s="466"/>
      <c r="AD695" s="466"/>
      <c r="AE695" s="466"/>
      <c r="AF695" s="1042"/>
      <c r="AG695" s="466"/>
      <c r="AH695" s="466"/>
      <c r="AI695" s="466"/>
      <c r="AJ695" s="466"/>
      <c r="AK695" s="1042"/>
      <c r="AL695" s="466"/>
      <c r="AM695" s="466"/>
      <c r="AN695" s="466"/>
      <c r="AO695" s="466"/>
      <c r="AP695" s="1042"/>
      <c r="AQ695" s="466"/>
      <c r="AR695" s="466"/>
      <c r="AS695" s="466"/>
      <c r="AT695" s="466"/>
      <c r="AU695" s="1042"/>
      <c r="AV695" s="466"/>
      <c r="AW695" s="466"/>
      <c r="AX695" s="466"/>
      <c r="AY695" s="466"/>
      <c r="AZ695" s="1042"/>
      <c r="BA695" s="466"/>
      <c r="BB695" s="466"/>
      <c r="BC695" s="466"/>
      <c r="BD695" s="466"/>
      <c r="BE695" s="1042"/>
      <c r="BF695" s="466"/>
      <c r="BG695" s="466"/>
      <c r="BH695" s="764"/>
      <c r="BI695" s="466"/>
      <c r="BJ695" s="1042">
        <f>SUM(BF695,BG695,BH695,BI695)</f>
        <v>0</v>
      </c>
      <c r="BK695" s="466"/>
      <c r="BL695" s="466"/>
      <c r="BM695" s="466"/>
      <c r="BN695" s="466"/>
      <c r="BO695" s="1042">
        <f>SUM(BK695,BL695,BM695,BN695)</f>
        <v>0</v>
      </c>
      <c r="BP695" s="1042"/>
      <c r="BQ695" s="1042"/>
      <c r="BR695" s="1042"/>
      <c r="BS695" s="305"/>
    </row>
    <row r="696" spans="1:71" s="51" customFormat="1" ht="15">
      <c r="A696" s="120" t="s">
        <v>81</v>
      </c>
      <c r="B696" s="507"/>
      <c r="C696" s="1045">
        <f t="shared" si="2141" ref="C696:AK696">C694-C695</f>
        <v>854</v>
      </c>
      <c r="D696" s="1045">
        <f t="shared" si="2141"/>
        <v>928</v>
      </c>
      <c r="E696" s="1045">
        <f t="shared" si="2141"/>
        <v>787</v>
      </c>
      <c r="F696" s="1045">
        <f t="shared" si="2141"/>
        <v>2306</v>
      </c>
      <c r="G696" s="1045">
        <f t="shared" si="2141"/>
        <v>2263</v>
      </c>
      <c r="H696" s="96">
        <f t="shared" si="2141"/>
        <v>587</v>
      </c>
      <c r="I696" s="96">
        <f t="shared" si="2141"/>
        <v>614</v>
      </c>
      <c r="J696" s="96">
        <f t="shared" si="2141"/>
        <v>750</v>
      </c>
      <c r="K696" s="96">
        <f t="shared" si="2141"/>
        <v>795</v>
      </c>
      <c r="L696" s="1045">
        <f t="shared" si="2141"/>
        <v>2746</v>
      </c>
      <c r="M696" s="96">
        <f t="shared" si="2141"/>
        <v>648</v>
      </c>
      <c r="N696" s="96">
        <f t="shared" si="2141"/>
        <v>326</v>
      </c>
      <c r="O696" s="96">
        <f t="shared" si="2141"/>
        <v>621</v>
      </c>
      <c r="P696" s="96">
        <f t="shared" si="2141"/>
        <v>460</v>
      </c>
      <c r="Q696" s="1045">
        <f t="shared" si="2141"/>
        <v>2055</v>
      </c>
      <c r="R696" s="96">
        <f t="shared" si="2141"/>
        <v>217</v>
      </c>
      <c r="S696" s="96">
        <f t="shared" si="2141"/>
        <v>242</v>
      </c>
      <c r="T696" s="96">
        <f t="shared" si="2141"/>
        <v>491</v>
      </c>
      <c r="U696" s="96">
        <f t="shared" si="2141"/>
        <v>811</v>
      </c>
      <c r="V696" s="1045">
        <f t="shared" si="2141"/>
        <v>1761</v>
      </c>
      <c r="W696" s="96">
        <f t="shared" si="2141"/>
        <v>666</v>
      </c>
      <c r="X696" s="96">
        <f t="shared" si="2141"/>
        <v>550</v>
      </c>
      <c r="Y696" s="96">
        <f t="shared" si="2141"/>
        <v>637</v>
      </c>
      <c r="Z696" s="96">
        <f t="shared" si="2141"/>
        <v>1220</v>
      </c>
      <c r="AA696" s="1045">
        <f t="shared" si="2141"/>
        <v>3073</v>
      </c>
      <c r="AB696" s="96">
        <f t="shared" si="2141"/>
        <v>946</v>
      </c>
      <c r="AC696" s="96">
        <f t="shared" si="2141"/>
        <v>637</v>
      </c>
      <c r="AD696" s="96">
        <f t="shared" si="2141"/>
        <v>833</v>
      </c>
      <c r="AE696" s="96">
        <f t="shared" si="2141"/>
        <v>-312</v>
      </c>
      <c r="AF696" s="1045">
        <f t="shared" si="2141"/>
        <v>2104</v>
      </c>
      <c r="AG696" s="96">
        <f t="shared" si="2141"/>
        <v>1261</v>
      </c>
      <c r="AH696" s="96">
        <f t="shared" si="2141"/>
        <v>821</v>
      </c>
      <c r="AI696" s="96">
        <f t="shared" si="2141"/>
        <v>889</v>
      </c>
      <c r="AJ696" s="96">
        <f t="shared" si="2141"/>
        <v>1707</v>
      </c>
      <c r="AK696" s="1045">
        <f t="shared" si="2141"/>
        <v>4678</v>
      </c>
      <c r="AL696" s="96">
        <f>AL694-AL695</f>
        <v>513</v>
      </c>
      <c r="AM696" s="96">
        <f>AM694-AM695</f>
        <v>1224</v>
      </c>
      <c r="AN696" s="96">
        <f>AN694-AN695</f>
        <v>1126</v>
      </c>
      <c r="AO696" s="96">
        <f t="shared" si="2142" ref="AO696:AP696">AO694-AO695</f>
        <v>2598</v>
      </c>
      <c r="AP696" s="1045">
        <f t="shared" si="2142"/>
        <v>5461</v>
      </c>
      <c r="AQ696" s="96">
        <f t="shared" si="2143" ref="AQ696:AV696">AQ694-AQ695</f>
        <v>-1408</v>
      </c>
      <c r="AR696" s="96">
        <f t="shared" si="2143"/>
        <v>1595</v>
      </c>
      <c r="AS696" s="96">
        <f t="shared" si="2143"/>
        <v>508</v>
      </c>
      <c r="AT696" s="96">
        <f t="shared" si="2143"/>
        <v>790</v>
      </c>
      <c r="AU696" s="1045">
        <f t="shared" si="2143"/>
        <v>1485</v>
      </c>
      <c r="AV696" s="96">
        <f t="shared" si="2143"/>
        <v>634</v>
      </c>
      <c r="AW696" s="96">
        <f t="shared" si="2144" ref="AW696:BJ696">AW694-AW695</f>
        <v>-1040</v>
      </c>
      <c r="AX696" s="96">
        <f t="shared" si="2144"/>
        <v>-685</v>
      </c>
      <c r="AY696" s="96">
        <f t="shared" si="2144"/>
        <v>-303</v>
      </c>
      <c r="AZ696" s="1045">
        <f t="shared" si="2144"/>
        <v>-1394</v>
      </c>
      <c r="BA696" s="96">
        <f t="shared" si="2145" ref="BA696:BI696">BA694-BA695</f>
        <v>-346</v>
      </c>
      <c r="BB696" s="96">
        <f t="shared" si="2145"/>
        <v>-1389</v>
      </c>
      <c r="BC696" s="96">
        <f t="shared" si="2145"/>
        <v>-41</v>
      </c>
      <c r="BD696" s="96">
        <f t="shared" si="2145"/>
        <v>1460</v>
      </c>
      <c r="BE696" s="1045">
        <f t="shared" si="2145"/>
        <v>-316</v>
      </c>
      <c r="BF696" s="96">
        <f>BF694-BF695</f>
        <v>1189</v>
      </c>
      <c r="BG696" s="96">
        <f>BG694-BG695</f>
        <v>301</v>
      </c>
      <c r="BH696" s="803">
        <f>BH694-BH695</f>
        <v>1161</v>
      </c>
      <c r="BI696" s="97">
        <f t="shared" si="2145"/>
        <v>1337.403136004099</v>
      </c>
      <c r="BJ696" s="1046">
        <f t="shared" si="2144"/>
        <v>3988.403136004099</v>
      </c>
      <c r="BK696" s="97">
        <f t="shared" si="2146" ref="BK696:BR696">BK694-BK695</f>
        <v>1457.2043861260277</v>
      </c>
      <c r="BL696" s="97">
        <f t="shared" si="2146"/>
        <v>867.28568412054733</v>
      </c>
      <c r="BM696" s="97">
        <f t="shared" si="2146"/>
        <v>1218.7151435068504</v>
      </c>
      <c r="BN696" s="97">
        <f t="shared" si="2146"/>
        <v>1678.4029141044405</v>
      </c>
      <c r="BO696" s="1046">
        <f t="shared" si="2146"/>
        <v>5221.608127857864</v>
      </c>
      <c r="BP696" s="1046">
        <f t="shared" si="2146"/>
        <v>5589.4346056623654</v>
      </c>
      <c r="BQ696" s="1046">
        <f t="shared" si="2146"/>
        <v>5724.631458205341</v>
      </c>
      <c r="BR696" s="1046">
        <f t="shared" si="2146"/>
        <v>5880.4517650377838</v>
      </c>
      <c r="BS696" s="57"/>
    </row>
    <row r="697" spans="1:71" s="300" customFormat="1" ht="15">
      <c r="A697" s="348" t="s">
        <v>82</v>
      </c>
      <c r="B697" s="510"/>
      <c r="C697" s="992">
        <f t="shared" si="2147" ref="C697:AP697">-SUM(C649:C668)</f>
        <v>-1027</v>
      </c>
      <c r="D697" s="992">
        <f t="shared" si="2147"/>
        <v>-611</v>
      </c>
      <c r="E697" s="992">
        <f t="shared" si="2147"/>
        <v>125</v>
      </c>
      <c r="F697" s="992">
        <f t="shared" si="2147"/>
        <v>158</v>
      </c>
      <c r="G697" s="992">
        <f t="shared" si="2147"/>
        <v>-407</v>
      </c>
      <c r="H697" s="116">
        <f t="shared" si="2147"/>
        <v>-1</v>
      </c>
      <c r="I697" s="116">
        <f t="shared" si="2147"/>
        <v>169</v>
      </c>
      <c r="J697" s="116">
        <f t="shared" si="2147"/>
        <v>152</v>
      </c>
      <c r="K697" s="116">
        <f t="shared" si="2147"/>
        <v>59</v>
      </c>
      <c r="L697" s="992">
        <f t="shared" si="2147"/>
        <v>379</v>
      </c>
      <c r="M697" s="116">
        <f t="shared" si="2147"/>
        <v>32</v>
      </c>
      <c r="N697" s="116">
        <f t="shared" si="2147"/>
        <v>64</v>
      </c>
      <c r="O697" s="116">
        <f t="shared" si="2147"/>
        <v>11</v>
      </c>
      <c r="P697" s="116">
        <f t="shared" si="2147"/>
        <v>-165</v>
      </c>
      <c r="Q697" s="992">
        <f t="shared" si="2147"/>
        <v>-58</v>
      </c>
      <c r="R697" s="116">
        <f t="shared" si="2147"/>
        <v>-105</v>
      </c>
      <c r="S697" s="116">
        <f t="shared" si="2147"/>
        <v>7</v>
      </c>
      <c r="T697" s="116">
        <f t="shared" si="2147"/>
        <v>17</v>
      </c>
      <c r="U697" s="116">
        <f t="shared" si="2147"/>
        <v>4</v>
      </c>
      <c r="V697" s="992">
        <f t="shared" si="2147"/>
        <v>-77</v>
      </c>
      <c r="W697" s="116">
        <f t="shared" si="2147"/>
        <v>58</v>
      </c>
      <c r="X697" s="116">
        <f t="shared" si="2147"/>
        <v>40</v>
      </c>
      <c r="Y697" s="116">
        <f t="shared" si="2147"/>
        <v>50</v>
      </c>
      <c r="Z697" s="116">
        <f t="shared" si="2147"/>
        <v>458</v>
      </c>
      <c r="AA697" s="992">
        <f t="shared" si="2147"/>
        <v>606</v>
      </c>
      <c r="AB697" s="116">
        <f t="shared" si="2147"/>
        <v>-120</v>
      </c>
      <c r="AC697" s="116">
        <f t="shared" si="2147"/>
        <v>-38</v>
      </c>
      <c r="AD697" s="116">
        <f t="shared" si="2147"/>
        <v>153</v>
      </c>
      <c r="AE697" s="116">
        <f t="shared" si="2147"/>
        <v>-742</v>
      </c>
      <c r="AF697" s="992">
        <f t="shared" si="2147"/>
        <v>-747</v>
      </c>
      <c r="AG697" s="116">
        <f t="shared" si="2147"/>
        <v>485</v>
      </c>
      <c r="AH697" s="116">
        <f t="shared" si="2147"/>
        <v>86</v>
      </c>
      <c r="AI697" s="116">
        <f t="shared" si="2147"/>
        <v>-57</v>
      </c>
      <c r="AJ697" s="116">
        <f t="shared" si="2147"/>
        <v>687</v>
      </c>
      <c r="AK697" s="992">
        <f t="shared" si="2147"/>
        <v>1201</v>
      </c>
      <c r="AL697" s="116">
        <f t="shared" si="2147"/>
        <v>-689</v>
      </c>
      <c r="AM697" s="116">
        <f t="shared" si="2147"/>
        <v>408</v>
      </c>
      <c r="AN697" s="116">
        <f t="shared" si="2147"/>
        <v>226</v>
      </c>
      <c r="AO697" s="116">
        <f t="shared" si="2147"/>
        <v>1004</v>
      </c>
      <c r="AP697" s="992">
        <f t="shared" si="2147"/>
        <v>949</v>
      </c>
      <c r="AQ697" s="116">
        <f t="shared" si="2148" ref="AQ697:AV697">-SUM(AQ649:AQ668)</f>
        <v>-3279</v>
      </c>
      <c r="AR697" s="116">
        <f t="shared" si="2148"/>
        <v>446</v>
      </c>
      <c r="AS697" s="116">
        <f t="shared" si="2148"/>
        <v>291</v>
      </c>
      <c r="AT697" s="116">
        <f t="shared" si="2148"/>
        <v>-6</v>
      </c>
      <c r="AU697" s="992">
        <f t="shared" si="2148"/>
        <v>-2548</v>
      </c>
      <c r="AV697" s="116">
        <f t="shared" si="2148"/>
        <v>-96</v>
      </c>
      <c r="AW697" s="116">
        <f>-SUM(AW649:AW668)</f>
        <v>-833</v>
      </c>
      <c r="AX697" s="116">
        <f t="shared" si="2149" ref="AX697:BJ697">-SUM(AX649:AX668)</f>
        <v>-274</v>
      </c>
      <c r="AY697" s="116">
        <f t="shared" si="2149"/>
        <v>48</v>
      </c>
      <c r="AZ697" s="992">
        <f t="shared" si="2149"/>
        <v>-1155</v>
      </c>
      <c r="BA697" s="116">
        <f t="shared" si="2150" ref="BA697:BI697">-SUM(BA649:BA668)</f>
        <v>-4</v>
      </c>
      <c r="BB697" s="116">
        <f t="shared" si="2150"/>
        <v>-227</v>
      </c>
      <c r="BC697" s="116">
        <f t="shared" si="2150"/>
        <v>-255</v>
      </c>
      <c r="BD697" s="116">
        <f t="shared" si="2150"/>
        <v>-81</v>
      </c>
      <c r="BE697" s="992">
        <f t="shared" si="2150"/>
        <v>-567</v>
      </c>
      <c r="BF697" s="116">
        <f>-SUM(BF649:BF668)</f>
        <v>-178</v>
      </c>
      <c r="BG697" s="116">
        <f>-SUM(BG649:BG668)</f>
        <v>-128</v>
      </c>
      <c r="BH697" s="741">
        <f>-SUM(BH649:BH668)</f>
        <v>113</v>
      </c>
      <c r="BI697" s="239">
        <f t="shared" si="2150"/>
        <v>42.75</v>
      </c>
      <c r="BJ697" s="994">
        <f t="shared" si="2149"/>
        <v>-150.25</v>
      </c>
      <c r="BK697" s="239">
        <f t="shared" si="2151" ref="BK697:BR697">-SUM(BK649:BK668)</f>
        <v>45.60</v>
      </c>
      <c r="BL697" s="239">
        <f t="shared" si="2151"/>
        <v>45.60</v>
      </c>
      <c r="BM697" s="239">
        <f t="shared" si="2151"/>
        <v>45.60</v>
      </c>
      <c r="BN697" s="239">
        <f t="shared" si="2151"/>
        <v>45.60</v>
      </c>
      <c r="BO697" s="994">
        <f t="shared" si="2151"/>
        <v>182.40</v>
      </c>
      <c r="BP697" s="994">
        <f t="shared" si="2151"/>
        <v>180.11999999999998</v>
      </c>
      <c r="BQ697" s="994">
        <f t="shared" si="2151"/>
        <v>180.11999999999998</v>
      </c>
      <c r="BR697" s="994">
        <f t="shared" si="2151"/>
        <v>180.11999999999998</v>
      </c>
      <c r="BS697" s="305"/>
    </row>
    <row r="698" spans="1:71" s="300" customFormat="1" ht="15">
      <c r="A698" s="110" t="s">
        <v>83</v>
      </c>
      <c r="B698" s="395"/>
      <c r="C698" s="995"/>
      <c r="D698" s="995"/>
      <c r="E698" s="995"/>
      <c r="F698" s="995"/>
      <c r="G698" s="995"/>
      <c r="H698" s="115"/>
      <c r="I698" s="115"/>
      <c r="J698" s="115"/>
      <c r="K698" s="115"/>
      <c r="L698" s="995"/>
      <c r="M698" s="115"/>
      <c r="N698" s="115"/>
      <c r="O698" s="115"/>
      <c r="P698" s="115"/>
      <c r="Q698" s="995"/>
      <c r="R698" s="115"/>
      <c r="S698" s="115"/>
      <c r="T698" s="115"/>
      <c r="U698" s="115"/>
      <c r="V698" s="995"/>
      <c r="W698" s="115"/>
      <c r="X698" s="115"/>
      <c r="Y698" s="115"/>
      <c r="Z698" s="115"/>
      <c r="AA698" s="995"/>
      <c r="AB698" s="115"/>
      <c r="AC698" s="115"/>
      <c r="AD698" s="115"/>
      <c r="AE698" s="115"/>
      <c r="AF698" s="995"/>
      <c r="AG698" s="115"/>
      <c r="AH698" s="115"/>
      <c r="AI698" s="115"/>
      <c r="AJ698" s="115"/>
      <c r="AK698" s="995"/>
      <c r="AL698" s="115"/>
      <c r="AM698" s="115"/>
      <c r="AN698" s="115"/>
      <c r="AO698" s="115"/>
      <c r="AP698" s="995"/>
      <c r="AQ698" s="115"/>
      <c r="AR698" s="115"/>
      <c r="AS698" s="115"/>
      <c r="AT698" s="115"/>
      <c r="AU698" s="995"/>
      <c r="AV698" s="115"/>
      <c r="AW698" s="115"/>
      <c r="AX698" s="115"/>
      <c r="AY698" s="115"/>
      <c r="AZ698" s="995"/>
      <c r="BA698" s="115"/>
      <c r="BB698" s="115"/>
      <c r="BC698" s="115"/>
      <c r="BD698" s="115"/>
      <c r="BE698" s="995"/>
      <c r="BF698" s="115"/>
      <c r="BG698" s="115"/>
      <c r="BH698" s="641"/>
      <c r="BI698" s="115"/>
      <c r="BJ698" s="995">
        <f>SUM(BF698,BG698,BH698,BI698)</f>
        <v>0</v>
      </c>
      <c r="BK698" s="115"/>
      <c r="BL698" s="115"/>
      <c r="BM698" s="115"/>
      <c r="BN698" s="115"/>
      <c r="BO698" s="995">
        <f>SUM(BK698,BL698,BM698,BN698)</f>
        <v>0</v>
      </c>
      <c r="BP698" s="995"/>
      <c r="BQ698" s="995"/>
      <c r="BR698" s="995"/>
      <c r="BS698" s="305"/>
    </row>
    <row r="699" spans="1:71" s="51" customFormat="1" ht="15">
      <c r="A699" s="120" t="s">
        <v>84</v>
      </c>
      <c r="B699" s="507"/>
      <c r="C699" s="1045">
        <f t="shared" si="2152" ref="C699:AK699">C696-SUM(C697:C698)</f>
        <v>1881</v>
      </c>
      <c r="D699" s="1045">
        <f t="shared" si="2152"/>
        <v>1539</v>
      </c>
      <c r="E699" s="1045">
        <f t="shared" si="2152"/>
        <v>662</v>
      </c>
      <c r="F699" s="1045">
        <f t="shared" si="2152"/>
        <v>2148</v>
      </c>
      <c r="G699" s="1045">
        <f t="shared" si="2152"/>
        <v>2670</v>
      </c>
      <c r="H699" s="96">
        <f t="shared" si="2152"/>
        <v>588</v>
      </c>
      <c r="I699" s="96">
        <f t="shared" si="2152"/>
        <v>445</v>
      </c>
      <c r="J699" s="96">
        <f t="shared" si="2152"/>
        <v>598</v>
      </c>
      <c r="K699" s="96">
        <f t="shared" si="2152"/>
        <v>736</v>
      </c>
      <c r="L699" s="1045">
        <f t="shared" si="2152"/>
        <v>2367</v>
      </c>
      <c r="M699" s="96">
        <f t="shared" si="2152"/>
        <v>616</v>
      </c>
      <c r="N699" s="96">
        <f t="shared" si="2152"/>
        <v>262</v>
      </c>
      <c r="O699" s="96">
        <f t="shared" si="2152"/>
        <v>610</v>
      </c>
      <c r="P699" s="96">
        <f t="shared" si="2152"/>
        <v>625</v>
      </c>
      <c r="Q699" s="1045">
        <f t="shared" si="2152"/>
        <v>2113</v>
      </c>
      <c r="R699" s="96">
        <f t="shared" si="2152"/>
        <v>322</v>
      </c>
      <c r="S699" s="96">
        <f t="shared" si="2152"/>
        <v>235</v>
      </c>
      <c r="T699" s="96">
        <f t="shared" si="2152"/>
        <v>474</v>
      </c>
      <c r="U699" s="96">
        <f t="shared" si="2152"/>
        <v>807</v>
      </c>
      <c r="V699" s="1045">
        <f t="shared" si="2152"/>
        <v>1838</v>
      </c>
      <c r="W699" s="96">
        <f t="shared" si="2152"/>
        <v>608</v>
      </c>
      <c r="X699" s="96">
        <f t="shared" si="2152"/>
        <v>510</v>
      </c>
      <c r="Y699" s="96">
        <f t="shared" si="2152"/>
        <v>587</v>
      </c>
      <c r="Z699" s="96">
        <f t="shared" si="2152"/>
        <v>762</v>
      </c>
      <c r="AA699" s="1045">
        <f t="shared" si="2152"/>
        <v>2467</v>
      </c>
      <c r="AB699" s="96">
        <f t="shared" si="2152"/>
        <v>1066</v>
      </c>
      <c r="AC699" s="96">
        <f t="shared" si="2152"/>
        <v>675</v>
      </c>
      <c r="AD699" s="96">
        <f t="shared" si="2152"/>
        <v>680</v>
      </c>
      <c r="AE699" s="96">
        <f t="shared" si="2152"/>
        <v>430</v>
      </c>
      <c r="AF699" s="1045">
        <f t="shared" si="2152"/>
        <v>2851</v>
      </c>
      <c r="AG699" s="96">
        <f t="shared" si="2152"/>
        <v>776</v>
      </c>
      <c r="AH699" s="96">
        <f t="shared" si="2152"/>
        <v>735</v>
      </c>
      <c r="AI699" s="96">
        <f t="shared" si="2152"/>
        <v>946</v>
      </c>
      <c r="AJ699" s="96">
        <f t="shared" si="2152"/>
        <v>1020</v>
      </c>
      <c r="AK699" s="1045">
        <f t="shared" si="2152"/>
        <v>3477</v>
      </c>
      <c r="AL699" s="96">
        <f>AL696-SUM(AL697:AL698)</f>
        <v>1202</v>
      </c>
      <c r="AM699" s="96">
        <f>AM696-SUM(AM697:AM698)</f>
        <v>816</v>
      </c>
      <c r="AN699" s="96">
        <f>AN696-SUM(AN697:AN698)</f>
        <v>900</v>
      </c>
      <c r="AO699" s="96">
        <f t="shared" si="2153" ref="AO699:AP699">AO696-SUM(AO697:AO698)</f>
        <v>1594</v>
      </c>
      <c r="AP699" s="1045">
        <f t="shared" si="2153"/>
        <v>4512</v>
      </c>
      <c r="AQ699" s="96">
        <f t="shared" si="2154" ref="AQ699:AV699">AQ696-SUM(AQ697:AQ698)</f>
        <v>1871</v>
      </c>
      <c r="AR699" s="96">
        <f t="shared" si="2154"/>
        <v>1149</v>
      </c>
      <c r="AS699" s="96">
        <f t="shared" si="2154"/>
        <v>217</v>
      </c>
      <c r="AT699" s="96">
        <f t="shared" si="2154"/>
        <v>796</v>
      </c>
      <c r="AU699" s="1045">
        <f t="shared" si="2154"/>
        <v>4033</v>
      </c>
      <c r="AV699" s="96">
        <f t="shared" si="2154"/>
        <v>730</v>
      </c>
      <c r="AW699" s="96">
        <f t="shared" si="2155" ref="AW699:BJ699">AW696-SUM(AW697:AW698)</f>
        <v>-207</v>
      </c>
      <c r="AX699" s="96">
        <f t="shared" si="2155"/>
        <v>-411</v>
      </c>
      <c r="AY699" s="96">
        <f t="shared" si="2155"/>
        <v>-351</v>
      </c>
      <c r="AZ699" s="1045">
        <f t="shared" si="2155"/>
        <v>-239</v>
      </c>
      <c r="BA699" s="96">
        <f t="shared" si="2156" ref="BA699:BI699">BA696-SUM(BA697:BA698)</f>
        <v>-342</v>
      </c>
      <c r="BB699" s="96">
        <f t="shared" si="2156"/>
        <v>-1162</v>
      </c>
      <c r="BC699" s="96">
        <f t="shared" si="2156"/>
        <v>214</v>
      </c>
      <c r="BD699" s="96">
        <f t="shared" si="2156"/>
        <v>1541</v>
      </c>
      <c r="BE699" s="1045">
        <f t="shared" si="2156"/>
        <v>251</v>
      </c>
      <c r="BF699" s="96">
        <f>BF696-SUM(BF697:BF698)</f>
        <v>1367</v>
      </c>
      <c r="BG699" s="96">
        <f>BG696-SUM(BG697:BG698)</f>
        <v>429</v>
      </c>
      <c r="BH699" s="803">
        <f>BH696-SUM(BH697:BH698)</f>
        <v>1048</v>
      </c>
      <c r="BI699" s="97">
        <f t="shared" si="2156"/>
        <v>1294.653136004099</v>
      </c>
      <c r="BJ699" s="1046">
        <f t="shared" si="2155"/>
        <v>4138.653136004099</v>
      </c>
      <c r="BK699" s="97">
        <f t="shared" si="2157" ref="BK699:BR699">BK696-SUM(BK697:BK698)</f>
        <v>1411.6043861260277</v>
      </c>
      <c r="BL699" s="97">
        <f t="shared" si="2157"/>
        <v>821.68568412054731</v>
      </c>
      <c r="BM699" s="97">
        <f t="shared" si="2157"/>
        <v>1173.1151435068505</v>
      </c>
      <c r="BN699" s="97">
        <f t="shared" si="2157"/>
        <v>1632.8029141044406</v>
      </c>
      <c r="BO699" s="1046">
        <f t="shared" si="2157"/>
        <v>5039.2081278578644</v>
      </c>
      <c r="BP699" s="1046">
        <f t="shared" si="2157"/>
        <v>5409.3146056623655</v>
      </c>
      <c r="BQ699" s="1046">
        <f t="shared" si="2157"/>
        <v>5544.5114582053411</v>
      </c>
      <c r="BR699" s="1046">
        <f t="shared" si="2157"/>
        <v>5700.331765037784</v>
      </c>
      <c r="BS699" s="57"/>
    </row>
    <row r="700" spans="1:71" s="26" customFormat="1" ht="15">
      <c r="A700" s="512"/>
      <c r="B700" s="513"/>
      <c r="C700" s="1047"/>
      <c r="D700" s="1047"/>
      <c r="E700" s="1047"/>
      <c r="F700" s="1047"/>
      <c r="G700" s="1047"/>
      <c r="H700" s="848"/>
      <c r="I700" s="848"/>
      <c r="J700" s="848"/>
      <c r="K700" s="848"/>
      <c r="L700" s="1047"/>
      <c r="M700" s="848"/>
      <c r="N700" s="848"/>
      <c r="O700" s="848"/>
      <c r="P700" s="848"/>
      <c r="Q700" s="1047"/>
      <c r="R700" s="848"/>
      <c r="S700" s="848"/>
      <c r="T700" s="848"/>
      <c r="U700" s="848"/>
      <c r="V700" s="1047"/>
      <c r="W700" s="848"/>
      <c r="X700" s="848"/>
      <c r="Y700" s="848"/>
      <c r="Z700" s="848"/>
      <c r="AA700" s="1047"/>
      <c r="AB700" s="848"/>
      <c r="AC700" s="848"/>
      <c r="AD700" s="848"/>
      <c r="AE700" s="848"/>
      <c r="AF700" s="1047"/>
      <c r="AG700" s="848"/>
      <c r="AH700" s="848"/>
      <c r="AI700" s="848"/>
      <c r="AJ700" s="848"/>
      <c r="AK700" s="1047"/>
      <c r="AL700" s="848"/>
      <c r="AM700" s="848"/>
      <c r="AN700" s="848"/>
      <c r="AO700" s="848"/>
      <c r="AP700" s="1047"/>
      <c r="AQ700" s="848"/>
      <c r="AR700" s="848"/>
      <c r="AS700" s="848"/>
      <c r="AT700" s="848"/>
      <c r="AU700" s="1047"/>
      <c r="AV700" s="848"/>
      <c r="AW700" s="848"/>
      <c r="AX700" s="848"/>
      <c r="AY700" s="848"/>
      <c r="AZ700" s="1047"/>
      <c r="BA700" s="848"/>
      <c r="BB700" s="848"/>
      <c r="BC700" s="848"/>
      <c r="BD700" s="848"/>
      <c r="BE700" s="1047"/>
      <c r="BF700" s="848"/>
      <c r="BG700" s="848"/>
      <c r="BH700" s="849"/>
      <c r="BI700" s="848"/>
      <c r="BJ700" s="1047"/>
      <c r="BK700" s="848"/>
      <c r="BL700" s="848"/>
      <c r="BM700" s="848"/>
      <c r="BN700" s="848"/>
      <c r="BO700" s="1047"/>
      <c r="BP700" s="1047"/>
      <c r="BQ700" s="1047"/>
      <c r="BR700" s="1047"/>
      <c r="BS700" s="48"/>
    </row>
    <row r="701" spans="1:71" s="25" customFormat="1" ht="15">
      <c r="A701" s="158" t="s">
        <v>85</v>
      </c>
      <c r="B701" s="488"/>
      <c r="C701" s="1015">
        <f t="shared" si="2158" ref="C701:AK701">C687/C684</f>
        <v>-0.014423076923076924</v>
      </c>
      <c r="D701" s="1015">
        <f t="shared" si="2158"/>
        <v>0.12611012433392541</v>
      </c>
      <c r="E701" s="1015">
        <f t="shared" si="2158"/>
        <v>0.014598540145985401</v>
      </c>
      <c r="F701" s="1015">
        <f t="shared" si="2158"/>
        <v>0.089231699939503931</v>
      </c>
      <c r="G701" s="1015">
        <f t="shared" si="2158"/>
        <v>0.25588928150765605</v>
      </c>
      <c r="H701" s="158">
        <f t="shared" si="2158"/>
        <v>0.29328621908127206</v>
      </c>
      <c r="I701" s="158">
        <f t="shared" si="2158"/>
        <v>0.32460732984293195</v>
      </c>
      <c r="J701" s="158">
        <f t="shared" si="2158"/>
        <v>0.34369747899159664</v>
      </c>
      <c r="K701" s="158">
        <f t="shared" si="2158"/>
        <v>0.33655394524959742</v>
      </c>
      <c r="L701" s="1015">
        <f t="shared" si="2158"/>
        <v>0.26510859301227574</v>
      </c>
      <c r="M701" s="158">
        <f t="shared" si="2158"/>
        <v>0.37372802960222018</v>
      </c>
      <c r="N701" s="158">
        <f t="shared" si="2158"/>
        <v>0.32509505703422054</v>
      </c>
      <c r="O701" s="158">
        <f t="shared" si="2158"/>
        <v>0.3193717277486911</v>
      </c>
      <c r="P701" s="158">
        <f t="shared" si="2158"/>
        <v>0.32083333333333336</v>
      </c>
      <c r="Q701" s="1015">
        <f t="shared" si="2158"/>
        <v>0.31474710542352224</v>
      </c>
      <c r="R701" s="158">
        <f t="shared" si="2158"/>
        <v>0.30704225352112674</v>
      </c>
      <c r="S701" s="158">
        <f t="shared" si="2158"/>
        <v>0.27925531914893614</v>
      </c>
      <c r="T701" s="158">
        <f t="shared" si="2158"/>
        <v>0.3202614379084967</v>
      </c>
      <c r="U701" s="158">
        <f t="shared" si="2158"/>
        <v>0.33227344992050872</v>
      </c>
      <c r="V701" s="1015">
        <f t="shared" si="2158"/>
        <v>0.23747276688453159</v>
      </c>
      <c r="W701" s="158">
        <f t="shared" si="2158"/>
        <v>0.31324110671936761</v>
      </c>
      <c r="X701" s="158">
        <f t="shared" si="2158"/>
        <v>0.31962397179788482</v>
      </c>
      <c r="Y701" s="158">
        <f t="shared" si="2158"/>
        <v>0.31410916580844489</v>
      </c>
      <c r="Z701" s="158">
        <f t="shared" si="2158"/>
        <v>-0.079515989628349174</v>
      </c>
      <c r="AA701" s="1015">
        <f t="shared" si="2158"/>
        <v>0.25507391631170134</v>
      </c>
      <c r="AB701" s="158">
        <f t="shared" si="2158"/>
        <v>0.20343137254901961</v>
      </c>
      <c r="AC701" s="158">
        <f t="shared" si="2158"/>
        <v>0.20</v>
      </c>
      <c r="AD701" s="158">
        <f t="shared" si="2158"/>
        <v>0.16265640038498555</v>
      </c>
      <c r="AE701" s="158">
        <f t="shared" si="2158"/>
        <v>0.26098901098901101</v>
      </c>
      <c r="AF701" s="1015">
        <f t="shared" si="2158"/>
        <v>0.26530612244897961</v>
      </c>
      <c r="AG701" s="158">
        <f t="shared" si="2158"/>
        <v>0.20246913580246914</v>
      </c>
      <c r="AH701" s="158">
        <f t="shared" si="2158"/>
        <v>0.21057513914656772</v>
      </c>
      <c r="AI701" s="158">
        <f t="shared" si="2158"/>
        <v>0.19741379310344828</v>
      </c>
      <c r="AJ701" s="158">
        <f t="shared" si="2158"/>
        <v>0.20528910802330794</v>
      </c>
      <c r="AK701" s="1015">
        <f t="shared" si="2158"/>
        <v>0.16275250451634093</v>
      </c>
      <c r="AL701" s="158">
        <f>AL687/AL684</f>
        <v>0.18816682832201745</v>
      </c>
      <c r="AM701" s="158">
        <f>AM687/AM684</f>
        <v>0.19796954314720813</v>
      </c>
      <c r="AN701" s="158">
        <f>AN687/AN684</f>
        <v>0.20418848167539266</v>
      </c>
      <c r="AO701" s="158">
        <f t="shared" si="2159" ref="AO701:AP701">AO687/AO684</f>
        <v>0.20740223463687152</v>
      </c>
      <c r="AP701" s="1015">
        <f t="shared" si="2159"/>
        <v>0.21890620405763012</v>
      </c>
      <c r="AQ701" s="158">
        <f t="shared" si="2160" ref="AQ701:AV701">AQ687/AQ684</f>
        <v>0.20646437994722955</v>
      </c>
      <c r="AR701" s="158">
        <f t="shared" si="2160"/>
        <v>0.20144685587089595</v>
      </c>
      <c r="AS701" s="158">
        <f t="shared" si="2160"/>
        <v>0.088495575221238937</v>
      </c>
      <c r="AT701" s="158">
        <f t="shared" si="2160"/>
        <v>0.20172290021536252</v>
      </c>
      <c r="AU701" s="1015">
        <f t="shared" si="2160"/>
        <v>0.13042803970223324</v>
      </c>
      <c r="AV701" s="158">
        <f t="shared" si="2160"/>
        <v>0.18851435705368288</v>
      </c>
      <c r="AW701" s="158">
        <f t="shared" si="2161" ref="AW701:BB701">AW687/AW684</f>
        <v>0.2204424103737605</v>
      </c>
      <c r="AX701" s="158">
        <f t="shared" si="2161"/>
        <v>0.25934065934065936</v>
      </c>
      <c r="AY701" s="158">
        <f t="shared" si="2161"/>
        <v>0.2780487804878049</v>
      </c>
      <c r="AZ701" s="1015">
        <f t="shared" si="2161"/>
        <v>0.016393442622950821</v>
      </c>
      <c r="BA701" s="158">
        <f t="shared" si="2161"/>
        <v>0.20935960591133004</v>
      </c>
      <c r="BB701" s="158">
        <f t="shared" si="2161"/>
        <v>0.21338672768878719</v>
      </c>
      <c r="BC701" s="158">
        <f>BC687/BC684</f>
        <v>0.80952380952380953</v>
      </c>
      <c r="BD701" s="158">
        <f t="shared" si="2162" ref="BD701:BE701">BD687/BD684</f>
        <v>0.18609742747673783</v>
      </c>
      <c r="BE701" s="1015">
        <f t="shared" si="2162"/>
        <v>-0.32758620689655171</v>
      </c>
      <c r="BF701" s="158">
        <f>BF687/BF684</f>
        <v>0.18169398907103826</v>
      </c>
      <c r="BG701" s="158">
        <f>BG687/BG684</f>
        <v>0.19302325581395349</v>
      </c>
      <c r="BH701" s="750">
        <f>BH687/BH684</f>
        <v>0.17912552891396333</v>
      </c>
      <c r="BI701" s="929">
        <v>0.25</v>
      </c>
      <c r="BJ701" s="1016">
        <f>BJ687/BJ684</f>
        <v>0.20618479965847428</v>
      </c>
      <c r="BK701" s="929">
        <v>0.20</v>
      </c>
      <c r="BL701" s="929">
        <v>0.20</v>
      </c>
      <c r="BM701" s="929">
        <v>0.20</v>
      </c>
      <c r="BN701" s="929">
        <v>0.20</v>
      </c>
      <c r="BO701" s="1016">
        <f>BO687/BO684</f>
        <v>0.20000000000000007</v>
      </c>
      <c r="BP701" s="1039">
        <v>0.2100000000000001</v>
      </c>
      <c r="BQ701" s="1039">
        <v>0.2100000000000001</v>
      </c>
      <c r="BR701" s="1039">
        <v>0.2100000000000001</v>
      </c>
      <c r="BS701" s="158"/>
    </row>
    <row r="702" spans="1:71" s="25" customFormat="1" ht="15">
      <c r="A702" s="158" t="s">
        <v>86</v>
      </c>
      <c r="B702" s="488"/>
      <c r="C702" s="1016">
        <f t="shared" si="2163" ref="C702:AH702">C688/C684</f>
        <v>0.33012820512820512</v>
      </c>
      <c r="D702" s="1016">
        <f t="shared" si="2163"/>
        <v>0.049733570159857902</v>
      </c>
      <c r="E702" s="1016">
        <f t="shared" si="2163"/>
        <v>0.16475495307612095</v>
      </c>
      <c r="F702" s="1016">
        <f t="shared" si="2163"/>
        <v>0.2132486388384755</v>
      </c>
      <c r="G702" s="1016">
        <f t="shared" si="2163"/>
        <v>0.072732626619552418</v>
      </c>
      <c r="H702" s="393">
        <f t="shared" si="2163"/>
        <v>0</v>
      </c>
      <c r="I702" s="393">
        <f t="shared" si="2163"/>
        <v>0</v>
      </c>
      <c r="J702" s="393">
        <f t="shared" si="2163"/>
        <v>0</v>
      </c>
      <c r="K702" s="393">
        <f t="shared" si="2163"/>
        <v>0</v>
      </c>
      <c r="L702" s="1016">
        <f t="shared" si="2163"/>
        <v>0.062086874409820587</v>
      </c>
      <c r="M702" s="393">
        <f t="shared" si="2163"/>
        <v>0</v>
      </c>
      <c r="N702" s="393">
        <f t="shared" si="2163"/>
        <v>0</v>
      </c>
      <c r="O702" s="393">
        <f t="shared" si="2163"/>
        <v>0</v>
      </c>
      <c r="P702" s="393">
        <f t="shared" si="2163"/>
        <v>0</v>
      </c>
      <c r="Q702" s="1016">
        <f t="shared" si="2163"/>
        <v>0.02376599634369287</v>
      </c>
      <c r="R702" s="393">
        <f t="shared" si="2163"/>
        <v>0</v>
      </c>
      <c r="S702" s="393">
        <f t="shared" si="2163"/>
        <v>0</v>
      </c>
      <c r="T702" s="393">
        <f t="shared" si="2163"/>
        <v>0</v>
      </c>
      <c r="U702" s="393">
        <f t="shared" si="2163"/>
        <v>0</v>
      </c>
      <c r="V702" s="1016">
        <f t="shared" si="2163"/>
        <v>0.080973129992737841</v>
      </c>
      <c r="W702" s="393">
        <f t="shared" si="2163"/>
        <v>0</v>
      </c>
      <c r="X702" s="393">
        <f t="shared" si="2163"/>
        <v>0</v>
      </c>
      <c r="Y702" s="393">
        <f t="shared" si="2163"/>
        <v>0</v>
      </c>
      <c r="Z702" s="393">
        <f t="shared" si="2163"/>
        <v>0</v>
      </c>
      <c r="AA702" s="1016">
        <f t="shared" si="2163"/>
        <v>-0.054121773991480833</v>
      </c>
      <c r="AB702" s="393">
        <f t="shared" si="2163"/>
        <v>0</v>
      </c>
      <c r="AC702" s="393">
        <f t="shared" si="2163"/>
        <v>0</v>
      </c>
      <c r="AD702" s="393">
        <f t="shared" si="2163"/>
        <v>0</v>
      </c>
      <c r="AE702" s="393">
        <f t="shared" si="2163"/>
        <v>0</v>
      </c>
      <c r="AF702" s="1016">
        <f t="shared" si="2163"/>
        <v>-0.08600583090379009</v>
      </c>
      <c r="AG702" s="393">
        <f t="shared" si="2163"/>
        <v>0</v>
      </c>
      <c r="AH702" s="393">
        <f t="shared" si="2163"/>
        <v>0</v>
      </c>
      <c r="AI702" s="393">
        <f t="shared" si="2164" ref="AI702:BG702">AI688/AI684</f>
        <v>0</v>
      </c>
      <c r="AJ702" s="393">
        <f t="shared" si="2164"/>
        <v>0</v>
      </c>
      <c r="AK702" s="1016">
        <f t="shared" si="2164"/>
        <v>0.041221875513220561</v>
      </c>
      <c r="AL702" s="393">
        <f t="shared" si="2164"/>
        <v>0</v>
      </c>
      <c r="AM702" s="393">
        <f t="shared" si="2164"/>
        <v>0</v>
      </c>
      <c r="AN702" s="393">
        <f t="shared" si="2164"/>
        <v>0</v>
      </c>
      <c r="AO702" s="393">
        <f t="shared" si="2164"/>
        <v>0</v>
      </c>
      <c r="AP702" s="1016">
        <f t="shared" si="2164"/>
        <v>-0.017053807703616582</v>
      </c>
      <c r="AQ702" s="393">
        <f t="shared" si="2164"/>
        <v>0</v>
      </c>
      <c r="AR702" s="393">
        <f t="shared" si="2164"/>
        <v>0</v>
      </c>
      <c r="AS702" s="393">
        <f t="shared" si="2164"/>
        <v>0</v>
      </c>
      <c r="AT702" s="393">
        <f t="shared" si="2164"/>
        <v>0</v>
      </c>
      <c r="AU702" s="1016">
        <f t="shared" si="2164"/>
        <v>0.069478908188585611</v>
      </c>
      <c r="AV702" s="393">
        <f t="shared" si="2164"/>
        <v>0</v>
      </c>
      <c r="AW702" s="393">
        <f t="shared" si="2164"/>
        <v>0</v>
      </c>
      <c r="AX702" s="393">
        <f t="shared" si="2164"/>
        <v>0</v>
      </c>
      <c r="AY702" s="393">
        <f t="shared" si="2164"/>
        <v>0</v>
      </c>
      <c r="AZ702" s="1016">
        <f t="shared" si="2164"/>
        <v>0.25027322404371583</v>
      </c>
      <c r="BA702" s="393">
        <f t="shared" si="2164"/>
        <v>0</v>
      </c>
      <c r="BB702" s="393">
        <f t="shared" si="2164"/>
        <v>0</v>
      </c>
      <c r="BC702" s="393">
        <f t="shared" si="2164"/>
        <v>0</v>
      </c>
      <c r="BD702" s="393">
        <f t="shared" si="2164"/>
        <v>0</v>
      </c>
      <c r="BE702" s="1016">
        <f t="shared" si="2164"/>
        <v>0.71551724137931039</v>
      </c>
      <c r="BF702" s="393">
        <f t="shared" si="2164"/>
        <v>0</v>
      </c>
      <c r="BG702" s="393">
        <f t="shared" si="2164"/>
        <v>0</v>
      </c>
      <c r="BH702" s="751">
        <f>BH688/BH684</f>
        <v>0</v>
      </c>
      <c r="BI702" s="929">
        <v>0</v>
      </c>
      <c r="BJ702" s="1016">
        <f>BJ688/BJ684</f>
        <v>0</v>
      </c>
      <c r="BK702" s="929">
        <v>0</v>
      </c>
      <c r="BL702" s="929">
        <v>0</v>
      </c>
      <c r="BM702" s="929">
        <v>0</v>
      </c>
      <c r="BN702" s="929">
        <v>0</v>
      </c>
      <c r="BO702" s="1016">
        <f>BO688/BO684</f>
        <v>0</v>
      </c>
      <c r="BP702" s="1039">
        <v>0</v>
      </c>
      <c r="BQ702" s="1039">
        <v>0</v>
      </c>
      <c r="BR702" s="1039">
        <v>0</v>
      </c>
      <c r="BS702" s="158"/>
    </row>
    <row r="703" spans="1:71" s="22" customFormat="1" ht="15">
      <c r="A703" s="819"/>
      <c r="B703" s="508"/>
      <c r="C703" s="1010"/>
      <c r="D703" s="1010"/>
      <c r="E703" s="1010"/>
      <c r="F703" s="1010"/>
      <c r="G703" s="1010"/>
      <c r="H703" s="840"/>
      <c r="I703" s="840"/>
      <c r="J703" s="840"/>
      <c r="K703" s="840"/>
      <c r="L703" s="1010"/>
      <c r="M703" s="840"/>
      <c r="N703" s="840"/>
      <c r="O703" s="840"/>
      <c r="P703" s="840"/>
      <c r="Q703" s="1010"/>
      <c r="R703" s="840"/>
      <c r="S703" s="840"/>
      <c r="T703" s="840"/>
      <c r="U703" s="840"/>
      <c r="V703" s="1010"/>
      <c r="W703" s="840"/>
      <c r="X703" s="840"/>
      <c r="Y703" s="840"/>
      <c r="Z703" s="840"/>
      <c r="AA703" s="1010"/>
      <c r="AB703" s="840"/>
      <c r="AC703" s="840"/>
      <c r="AD703" s="840"/>
      <c r="AE703" s="840"/>
      <c r="AF703" s="1010"/>
      <c r="AG703" s="840"/>
      <c r="AH703" s="840"/>
      <c r="AI703" s="840"/>
      <c r="AJ703" s="840"/>
      <c r="AK703" s="1010"/>
      <c r="AL703" s="840"/>
      <c r="AM703" s="840"/>
      <c r="AN703" s="840"/>
      <c r="AO703" s="840"/>
      <c r="AP703" s="1010"/>
      <c r="AQ703" s="840"/>
      <c r="AR703" s="840"/>
      <c r="AS703" s="840"/>
      <c r="AT703" s="840"/>
      <c r="AU703" s="1010"/>
      <c r="AV703" s="840"/>
      <c r="AW703" s="840"/>
      <c r="AX703" s="840"/>
      <c r="AY703" s="840"/>
      <c r="AZ703" s="1010"/>
      <c r="BA703" s="840"/>
      <c r="BB703" s="840"/>
      <c r="BC703" s="840"/>
      <c r="BD703" s="840"/>
      <c r="BE703" s="1010"/>
      <c r="BF703" s="840"/>
      <c r="BG703" s="840"/>
      <c r="BH703" s="841"/>
      <c r="BI703" s="840"/>
      <c r="BJ703" s="1010"/>
      <c r="BK703" s="840"/>
      <c r="BL703" s="840"/>
      <c r="BM703" s="840"/>
      <c r="BN703" s="840"/>
      <c r="BO703" s="1010"/>
      <c r="BP703" s="1010"/>
      <c r="BQ703" s="1010"/>
      <c r="BR703" s="1010"/>
      <c r="BS703" s="822"/>
    </row>
    <row r="704" spans="1:71" s="30" customFormat="1" ht="15">
      <c r="A704" s="419" t="s">
        <v>87</v>
      </c>
      <c r="B704" s="514"/>
      <c r="C704" s="1048">
        <f t="shared" si="2165" ref="C704:W704">C$694/C709</f>
        <v>1.5826538176426983</v>
      </c>
      <c r="D704" s="1048">
        <f t="shared" si="2165"/>
        <v>1.717564316120674</v>
      </c>
      <c r="E704" s="1048">
        <f t="shared" si="2165"/>
        <v>1.5114269252928749</v>
      </c>
      <c r="F704" s="1048">
        <f t="shared" si="2165"/>
        <v>4.7118921127911735</v>
      </c>
      <c r="G704" s="1048">
        <f t="shared" si="2165"/>
        <v>4.8729543496985359</v>
      </c>
      <c r="H704" s="333">
        <f t="shared" si="2165"/>
        <v>1.3149641577060933</v>
      </c>
      <c r="I704" s="333">
        <f t="shared" si="2165"/>
        <v>1.4137692839051346</v>
      </c>
      <c r="J704" s="333">
        <f t="shared" si="2165"/>
        <v>1.7667844522968197</v>
      </c>
      <c r="K704" s="333">
        <f t="shared" si="2165"/>
        <v>1.8919562113279391</v>
      </c>
      <c r="L704" s="1048">
        <f t="shared" si="2165"/>
        <v>6.3653222067686608</v>
      </c>
      <c r="M704" s="333">
        <f t="shared" si="2165"/>
        <v>1.5584415584415583</v>
      </c>
      <c r="N704" s="333">
        <f t="shared" si="2165"/>
        <v>0.80098280098280095</v>
      </c>
      <c r="O704" s="333">
        <f t="shared" si="2165"/>
        <v>1.5642317380352644</v>
      </c>
      <c r="P704" s="333">
        <f t="shared" si="2165"/>
        <v>1.1948051948051948</v>
      </c>
      <c r="Q704" s="1048">
        <f t="shared" si="2165"/>
        <v>5.1234106207928196</v>
      </c>
      <c r="R704" s="333">
        <f t="shared" si="2165"/>
        <v>0.57392224279291193</v>
      </c>
      <c r="S704" s="333">
        <f t="shared" si="2165"/>
        <v>0.64775160599571735</v>
      </c>
      <c r="T704" s="333">
        <f t="shared" si="2165"/>
        <v>1.3216689098250336</v>
      </c>
      <c r="U704" s="333">
        <f t="shared" si="2165"/>
        <v>2.2038043478260869</v>
      </c>
      <c r="V704" s="1048">
        <f t="shared" si="2165"/>
        <v>4.7237124463519313</v>
      </c>
      <c r="W704" s="333">
        <f t="shared" si="2165"/>
        <v>1.8211648892534866</v>
      </c>
      <c r="X704" s="333">
        <f>X694/X709</f>
        <v>1.5126512651265125</v>
      </c>
      <c r="Y704" s="333">
        <f>Y$694/Y709</f>
        <v>1.7630777747024633</v>
      </c>
      <c r="Z704" s="333">
        <f>Z$694/Z709</f>
        <v>3.4125874125874125</v>
      </c>
      <c r="AA704" s="1048">
        <f>AA$694/AA709</f>
        <v>8.4889502762430933</v>
      </c>
      <c r="AB704" s="333">
        <f>AB$694/AB709</f>
        <v>2.6715617057328438</v>
      </c>
      <c r="AC704" s="333">
        <f>AC694/AC709</f>
        <v>1.8241695303550973</v>
      </c>
      <c r="AD704" s="333">
        <f>AD$694/AD709</f>
        <v>2.4075144508670521</v>
      </c>
      <c r="AE704" s="333">
        <f>AE$694/AE709</f>
        <v>-0.9125475285171103</v>
      </c>
      <c r="AF704" s="1048">
        <f>AF$694/AF709</f>
        <v>6.0494537090281773</v>
      </c>
      <c r="AG704" s="333">
        <f>AG$694/AG709</f>
        <v>3.791340950090198</v>
      </c>
      <c r="AH704" s="333">
        <f>AH694/AH709</f>
        <v>2.4728915662650603</v>
      </c>
      <c r="AI704" s="333">
        <f>AI$694/AI709</f>
        <v>2.7128471162648764</v>
      </c>
      <c r="AJ704" s="333">
        <f>AJ$694/AJ709</f>
        <v>5.322731524789523</v>
      </c>
      <c r="AK704" s="1048">
        <f>AK$694/AK709</f>
        <v>14.253503960999391</v>
      </c>
      <c r="AL704" s="333">
        <f>AL$694/AL709</f>
        <v>1.616257088846881</v>
      </c>
      <c r="AM704" s="333">
        <f>AM694/AM709</f>
        <v>3.901817022633089</v>
      </c>
      <c r="AN704" s="333">
        <f>AN$694/AN709</f>
        <v>3.6182519280205656</v>
      </c>
      <c r="AO704" s="333">
        <f>AO$694/AO709</f>
        <v>8.537627341439368</v>
      </c>
      <c r="AP704" s="1048">
        <f>AP$694/AP709</f>
        <v>17.525673940949936</v>
      </c>
      <c r="AQ704" s="333">
        <f>AQ$694/AQ709</f>
        <v>-4.6545454545454543</v>
      </c>
      <c r="AR704" s="333">
        <f>AR694/AR709</f>
        <v>5.3380187416331992</v>
      </c>
      <c r="AS704" s="333">
        <f>AS$694/AS709</f>
        <v>1.7331968611395427</v>
      </c>
      <c r="AT704" s="333">
        <f>AT$694/AT709</f>
        <v>2.7719298245614037</v>
      </c>
      <c r="AU704" s="1048">
        <f>AU$694/AU709</f>
        <v>5.0373134328358207</v>
      </c>
      <c r="AV704" s="333">
        <f>AV$694/AV709</f>
        <v>2.2797554836389784</v>
      </c>
      <c r="AW704" s="333">
        <f>AW694/AW709</f>
        <v>-3.7983929875821767</v>
      </c>
      <c r="AX704" s="333">
        <f>AX$694/AX709</f>
        <v>-2.549311499813919</v>
      </c>
      <c r="AY704" s="333">
        <f>AY$694/AY709</f>
        <v>-1.1459909228441756</v>
      </c>
      <c r="AZ704" s="1048">
        <f>AZ$694/AZ709</f>
        <v>-5.1401179941002955</v>
      </c>
      <c r="BA704" s="333">
        <f>BA$694/BA709</f>
        <v>-1.3130929791271346</v>
      </c>
      <c r="BB704" s="333">
        <f>BB694/BB709</f>
        <v>-5.2894135567402891</v>
      </c>
      <c r="BC704" s="333">
        <f>BC$694/BC709</f>
        <v>-0.15660809778456836</v>
      </c>
      <c r="BD704" s="333">
        <f>BD$694/BD709</f>
        <v>5.5682684973302825</v>
      </c>
      <c r="BE704" s="1048">
        <f>BE$694/BE709</f>
        <v>-1.2038095238095239</v>
      </c>
      <c r="BF704" s="333">
        <f>BF$694/BF709</f>
        <v>4.5123339658444026</v>
      </c>
      <c r="BG704" s="333">
        <f>BG694/BG709</f>
        <v>1.1397198031048845</v>
      </c>
      <c r="BH704" s="834">
        <f>BH$694/BH709</f>
        <v>4.3877551020408161</v>
      </c>
      <c r="BI704" s="334">
        <f ca="1">BI694/BI709</f>
        <v>4.9984046403657372</v>
      </c>
      <c r="BJ704" s="1049">
        <f ca="1" t="shared" si="2166" ref="BJ704">BJ694/BJ709</f>
        <v>15.053546675103636</v>
      </c>
      <c r="BK704" s="334">
        <f ca="1" t="shared" si="2167" ref="BK704:BR704">BK694/BK709</f>
        <v>5.4461493094265618</v>
      </c>
      <c r="BL704" s="334">
        <f t="shared" ca="1" si="2167"/>
        <v>3.2413897285923743</v>
      </c>
      <c r="BM704" s="334">
        <f t="shared" ca="1" si="2167"/>
        <v>4.5548206554900483</v>
      </c>
      <c r="BN704" s="334">
        <f t="shared" ca="1" si="2167"/>
        <v>6.27285572196931</v>
      </c>
      <c r="BO704" s="1049">
        <f t="shared" ca="1" si="2167"/>
        <v>19.515215415478288</v>
      </c>
      <c r="BP704" s="1049">
        <f t="shared" ca="1" si="2167"/>
        <v>20.889928487410078</v>
      </c>
      <c r="BQ704" s="1049">
        <f t="shared" ca="1" si="2167"/>
        <v>21.395212613730219</v>
      </c>
      <c r="BR704" s="1049">
        <f t="shared" ca="1" si="2167"/>
        <v>21.977574748053875</v>
      </c>
      <c r="BS704" s="333"/>
    </row>
    <row r="705" spans="1:71" s="30" customFormat="1" ht="15">
      <c r="A705" s="419" t="s">
        <v>88</v>
      </c>
      <c r="B705" s="514"/>
      <c r="C705" s="1048">
        <f t="shared" si="2168" ref="C705:AK705">C696/C710</f>
        <v>1.5788500647069699</v>
      </c>
      <c r="D705" s="1048">
        <f t="shared" si="2168"/>
        <v>1.7105990783410139</v>
      </c>
      <c r="E705" s="1048">
        <f t="shared" si="2168"/>
        <v>1.5044924488625502</v>
      </c>
      <c r="F705" s="1048">
        <f t="shared" si="2168"/>
        <v>4.6774847870182557</v>
      </c>
      <c r="G705" s="1048">
        <f t="shared" si="2168"/>
        <v>4.8118222411226874</v>
      </c>
      <c r="H705" s="333">
        <f t="shared" si="2168"/>
        <v>1.2963780918727914</v>
      </c>
      <c r="I705" s="333">
        <f t="shared" si="2168"/>
        <v>1.393238030406172</v>
      </c>
      <c r="J705" s="333">
        <f t="shared" si="2168"/>
        <v>1.7393320964749537</v>
      </c>
      <c r="K705" s="333">
        <f t="shared" si="2168"/>
        <v>1.8587795183539866</v>
      </c>
      <c r="L705" s="1048">
        <f t="shared" si="2168"/>
        <v>6.2665449566408036</v>
      </c>
      <c r="M705" s="333">
        <f t="shared" si="2168"/>
        <v>1.533364884051112</v>
      </c>
      <c r="N705" s="333">
        <f t="shared" si="2168"/>
        <v>0.79011148812409104</v>
      </c>
      <c r="O705" s="333">
        <f t="shared" si="2168"/>
        <v>1.5443919423029095</v>
      </c>
      <c r="P705" s="333">
        <f t="shared" si="2168"/>
        <v>1.1788826242952333</v>
      </c>
      <c r="Q705" s="1048">
        <f t="shared" si="2168"/>
        <v>5.0516224188790559</v>
      </c>
      <c r="R705" s="333">
        <f t="shared" si="2168"/>
        <v>0.56672760511883002</v>
      </c>
      <c r="S705" s="333">
        <f t="shared" si="2168"/>
        <v>0.64004231684739488</v>
      </c>
      <c r="T705" s="333">
        <f t="shared" si="2168"/>
        <v>1.306198457036446</v>
      </c>
      <c r="U705" s="333">
        <f t="shared" si="2168"/>
        <v>2.1771812080536912</v>
      </c>
      <c r="V705" s="1048">
        <f t="shared" si="2168"/>
        <v>4.6673734428836466</v>
      </c>
      <c r="W705" s="333">
        <f t="shared" si="2168"/>
        <v>1.793697818475626</v>
      </c>
      <c r="X705" s="333">
        <f t="shared" si="2168"/>
        <v>1.4905149051490514</v>
      </c>
      <c r="Y705" s="333">
        <f t="shared" si="2168"/>
        <v>1.7352220103514029</v>
      </c>
      <c r="Z705" s="333">
        <f t="shared" si="2168"/>
        <v>3.353490929081913</v>
      </c>
      <c r="AA705" s="1048">
        <f t="shared" si="2168"/>
        <v>8.3550842849374654</v>
      </c>
      <c r="AB705" s="333">
        <f t="shared" si="2168"/>
        <v>2.6285079188663518</v>
      </c>
      <c r="AC705" s="333">
        <f t="shared" si="2168"/>
        <v>1.79639029892837</v>
      </c>
      <c r="AD705" s="333">
        <f t="shared" si="2168"/>
        <v>2.3684958771680411</v>
      </c>
      <c r="AE705" s="333">
        <f t="shared" si="2168"/>
        <v>-0.9125475285171103</v>
      </c>
      <c r="AF705" s="1048">
        <f t="shared" si="2168"/>
        <v>5.9569648924122314</v>
      </c>
      <c r="AG705" s="333">
        <f t="shared" si="2168"/>
        <v>3.7362962962962962</v>
      </c>
      <c r="AH705" s="333">
        <f t="shared" si="2168"/>
        <v>2.4369249035322054</v>
      </c>
      <c r="AI705" s="333">
        <f t="shared" si="2168"/>
        <v>2.6696696696696698</v>
      </c>
      <c r="AJ705" s="333">
        <f t="shared" si="2168"/>
        <v>5.2313821636530795</v>
      </c>
      <c r="AK705" s="1048">
        <f t="shared" si="2168"/>
        <v>14.026986506746626</v>
      </c>
      <c r="AL705" s="333">
        <f>AL696/AL710</f>
        <v>1.5911910669975187</v>
      </c>
      <c r="AM705" s="333">
        <f>AM696/AM710</f>
        <v>3.861198738170347</v>
      </c>
      <c r="AN705" s="333">
        <f>AN696/AN710</f>
        <v>3.5848455905762493</v>
      </c>
      <c r="AO705" s="333">
        <f t="shared" si="2169" ref="AO705:AP705">AO696/AO710</f>
        <v>8.4460338101430423</v>
      </c>
      <c r="AP705" s="1048">
        <f t="shared" si="2169"/>
        <v>17.30903328050713</v>
      </c>
      <c r="AQ705" s="333">
        <f t="shared" si="2170" ref="AQ705:AV705">AQ696/AQ710</f>
        <v>-4.5953002610966065</v>
      </c>
      <c r="AR705" s="333">
        <f t="shared" si="2170"/>
        <v>5.2588196505110449</v>
      </c>
      <c r="AS705" s="333">
        <f t="shared" si="2170"/>
        <v>1.7052702249076872</v>
      </c>
      <c r="AT705" s="333">
        <f t="shared" si="2170"/>
        <v>2.7335640138408306</v>
      </c>
      <c r="AU705" s="1048">
        <f t="shared" si="2170"/>
        <v>4.9648946840521564</v>
      </c>
      <c r="AV705" s="333">
        <f t="shared" si="2170"/>
        <v>2.2498225691980127</v>
      </c>
      <c r="AW705" s="333">
        <f t="shared" si="2171" ref="AW705:BJ705">AW696/AW710</f>
        <v>-3.7983929875821767</v>
      </c>
      <c r="AX705" s="333">
        <f t="shared" si="2171"/>
        <v>-2.549311499813919</v>
      </c>
      <c r="AY705" s="333">
        <f t="shared" si="2171"/>
        <v>-1.1459909228441756</v>
      </c>
      <c r="AZ705" s="1048">
        <f t="shared" si="2171"/>
        <v>-5.1401179941002955</v>
      </c>
      <c r="BA705" s="333">
        <f t="shared" si="2172" ref="BA705:BI705">BA696/BA710</f>
        <v>-1.3130929791271346</v>
      </c>
      <c r="BB705" s="333">
        <f t="shared" si="2172"/>
        <v>-5.2894135567402891</v>
      </c>
      <c r="BC705" s="333">
        <f t="shared" si="2172"/>
        <v>-0.15660809778456836</v>
      </c>
      <c r="BD705" s="333">
        <f t="shared" si="2172"/>
        <v>5.5156781261805818</v>
      </c>
      <c r="BE705" s="1048">
        <f t="shared" si="2172"/>
        <v>-1.2038095238095239</v>
      </c>
      <c r="BF705" s="333">
        <f>BF696/BF710</f>
        <v>4.4615384615384617</v>
      </c>
      <c r="BG705" s="333">
        <f>BG696/BG710</f>
        <v>1.1269187570198427</v>
      </c>
      <c r="BH705" s="834">
        <f>BH696/BH710</f>
        <v>4.3320895522388057</v>
      </c>
      <c r="BI705" s="334">
        <f t="shared" ca="1" si="2172"/>
        <v>4.9325376409905228</v>
      </c>
      <c r="BJ705" s="1049">
        <f t="shared" ca="1" si="2171"/>
        <v>14.785604936795796</v>
      </c>
      <c r="BK705" s="334">
        <f ca="1" t="shared" si="2173" ref="BK705:BR705">BK696/BK710</f>
        <v>5.3709559264561753</v>
      </c>
      <c r="BL705" s="334">
        <f t="shared" ca="1" si="2173"/>
        <v>3.1966368132074696</v>
      </c>
      <c r="BM705" s="334">
        <f t="shared" ca="1" si="2173"/>
        <v>4.4919335852959055</v>
      </c>
      <c r="BN705" s="334">
        <f t="shared" ca="1" si="2173"/>
        <v>6.1862482465180566</v>
      </c>
      <c r="BO705" s="1049">
        <f t="shared" ca="1" si="2173"/>
        <v>19.2457745714776</v>
      </c>
      <c r="BP705" s="1049">
        <f t="shared" ca="1" si="2173"/>
        <v>20.601507384033606</v>
      </c>
      <c r="BQ705" s="1049">
        <f t="shared" ca="1" si="2173"/>
        <v>21.099815200917377</v>
      </c>
      <c r="BR705" s="1049">
        <f t="shared" ca="1" si="2173"/>
        <v>21.674136832400272</v>
      </c>
      <c r="BS705" s="333"/>
    </row>
    <row r="706" spans="1:71" s="30" customFormat="1" ht="15">
      <c r="A706" s="419" t="s">
        <v>354</v>
      </c>
      <c r="B706" s="514"/>
      <c r="C706" s="1048">
        <f t="shared" si="2174" ref="C706:AK706">C699/C711</f>
        <v>3.4775374376039934</v>
      </c>
      <c r="D706" s="1048">
        <f t="shared" si="2174"/>
        <v>2.8368663594470047</v>
      </c>
      <c r="E706" s="1048">
        <f t="shared" si="2174"/>
        <v>1.2655324029822212</v>
      </c>
      <c r="F706" s="1048">
        <f t="shared" si="2174"/>
        <v>4.3569979716024339</v>
      </c>
      <c r="G706" s="1048">
        <f t="shared" si="2174"/>
        <v>5.6772273017223052</v>
      </c>
      <c r="H706" s="333">
        <f t="shared" si="2174"/>
        <v>1.2985865724381624</v>
      </c>
      <c r="I706" s="333">
        <f t="shared" si="2174"/>
        <v>1.0097572044474699</v>
      </c>
      <c r="J706" s="333">
        <f t="shared" si="2174"/>
        <v>1.3868274582560298</v>
      </c>
      <c r="K706" s="333">
        <f t="shared" si="2174"/>
        <v>1.7208323591302315</v>
      </c>
      <c r="L706" s="1048">
        <f t="shared" si="2174"/>
        <v>5.4016430853491562</v>
      </c>
      <c r="M706" s="333">
        <f t="shared" si="2174"/>
        <v>1.4576431613819214</v>
      </c>
      <c r="N706" s="333">
        <f t="shared" si="2174"/>
        <v>0.63499757634512843</v>
      </c>
      <c r="O706" s="333">
        <f t="shared" si="2174"/>
        <v>1.5170355632927133</v>
      </c>
      <c r="P706" s="333">
        <f t="shared" si="2174"/>
        <v>1.6017426960533061</v>
      </c>
      <c r="Q706" s="1048">
        <f t="shared" si="2174"/>
        <v>5.1941986234021629</v>
      </c>
      <c r="R706" s="333">
        <f t="shared" si="2174"/>
        <v>0.84095063985374774</v>
      </c>
      <c r="S706" s="333">
        <f t="shared" si="2174"/>
        <v>0.62152869611213957</v>
      </c>
      <c r="T706" s="333">
        <f t="shared" si="2174"/>
        <v>1.2609736632083002</v>
      </c>
      <c r="U706" s="333">
        <f t="shared" si="2174"/>
        <v>2.1664429530201343</v>
      </c>
      <c r="V706" s="1048">
        <f t="shared" si="2174"/>
        <v>4.8714550755367076</v>
      </c>
      <c r="W706" s="333">
        <f t="shared" si="2174"/>
        <v>1.6374899003501211</v>
      </c>
      <c r="X706" s="333">
        <f t="shared" si="2174"/>
        <v>1.3821138211382114</v>
      </c>
      <c r="Y706" s="333">
        <f t="shared" si="2174"/>
        <v>1.5990193407790791</v>
      </c>
      <c r="Z706" s="333">
        <f t="shared" si="2174"/>
        <v>2.0945574491478833</v>
      </c>
      <c r="AA706" s="1048">
        <f t="shared" si="2174"/>
        <v>6.7074497009244149</v>
      </c>
      <c r="AB706" s="333">
        <f t="shared" si="2174"/>
        <v>2.961933870519589</v>
      </c>
      <c r="AC706" s="333">
        <f t="shared" si="2174"/>
        <v>1.9035532994923856</v>
      </c>
      <c r="AD706" s="333">
        <f t="shared" si="2174"/>
        <v>1.9334660221779927</v>
      </c>
      <c r="AE706" s="333">
        <f t="shared" si="2174"/>
        <v>1.2388360702967445</v>
      </c>
      <c r="AF706" s="1048">
        <f t="shared" si="2174"/>
        <v>8.0719139297848255</v>
      </c>
      <c r="AG706" s="333">
        <f t="shared" si="2174"/>
        <v>2.2992592592592591</v>
      </c>
      <c r="AH706" s="333">
        <f t="shared" si="2174"/>
        <v>2.1816562778272486</v>
      </c>
      <c r="AI706" s="333">
        <f t="shared" si="2174"/>
        <v>2.840840840840841</v>
      </c>
      <c r="AJ706" s="333">
        <f t="shared" si="2174"/>
        <v>3.1259577076310143</v>
      </c>
      <c r="AK706" s="1048">
        <f t="shared" si="2174"/>
        <v>10.425787106446776</v>
      </c>
      <c r="AL706" s="333">
        <f>AL699/AL711</f>
        <v>3.7282878411910674</v>
      </c>
      <c r="AM706" s="333">
        <f>AM699/AM711</f>
        <v>2.5741324921135647</v>
      </c>
      <c r="AN706" s="333">
        <f>AN699/AN711</f>
        <v>2.8653295128939824</v>
      </c>
      <c r="AO706" s="333">
        <f t="shared" si="2175" ref="AO706:AP706">AO699/AO711</f>
        <v>5.1820546163849155</v>
      </c>
      <c r="AP706" s="1048">
        <f t="shared" si="2175"/>
        <v>14.301109350237718</v>
      </c>
      <c r="AQ706" s="333">
        <f t="shared" si="2176" ref="AQ706:AV706">AQ699/AQ711</f>
        <v>6.1063968668407318</v>
      </c>
      <c r="AR706" s="333">
        <f t="shared" si="2176"/>
        <v>3.7883283877349156</v>
      </c>
      <c r="AS706" s="333">
        <f t="shared" si="2176"/>
        <v>0.72843235985229948</v>
      </c>
      <c r="AT706" s="333">
        <f t="shared" si="2176"/>
        <v>2.7543252595155709</v>
      </c>
      <c r="AU706" s="1048">
        <f t="shared" si="2176"/>
        <v>13.483784687395518</v>
      </c>
      <c r="AV706" s="333">
        <f t="shared" si="2176"/>
        <v>2.5904897090134846</v>
      </c>
      <c r="AW706" s="333">
        <f>AW699/AW711</f>
        <v>-0.75602629656683706</v>
      </c>
      <c r="AX706" s="333">
        <f t="shared" si="2177" ref="AX706:BJ706">AX699/AX711</f>
        <v>-1.5295868998883513</v>
      </c>
      <c r="AY706" s="333">
        <f t="shared" si="2177"/>
        <v>-1.327534039334342</v>
      </c>
      <c r="AZ706" s="1048">
        <f t="shared" si="2177"/>
        <v>-0.88126843657817111</v>
      </c>
      <c r="BA706" s="333">
        <f t="shared" si="2178" ref="BA706:BI706">BA699/BA711</f>
        <v>-1.2979127134724857</v>
      </c>
      <c r="BB706" s="333">
        <f t="shared" si="2178"/>
        <v>-4.4249809596344249</v>
      </c>
      <c r="BC706" s="333">
        <f t="shared" si="2178"/>
        <v>0.8127611090011394</v>
      </c>
      <c r="BD706" s="333">
        <f t="shared" si="2178"/>
        <v>5.8216849263316961</v>
      </c>
      <c r="BE706" s="1048">
        <f t="shared" si="2178"/>
        <v>0.94824329429542886</v>
      </c>
      <c r="BF706" s="333">
        <f>BF699/BF711</f>
        <v>5.1294559099437151</v>
      </c>
      <c r="BG706" s="333">
        <f>BG699/BG711</f>
        <v>1.6061400224634967</v>
      </c>
      <c r="BH706" s="834">
        <f>BH699/BH711</f>
        <v>3.91044776119403</v>
      </c>
      <c r="BI706" s="334">
        <f t="shared" ca="1" si="2178"/>
        <v>4.7748694118114203</v>
      </c>
      <c r="BJ706" s="1049">
        <f t="shared" ca="1" si="2177"/>
        <v>15.342604083070484</v>
      </c>
      <c r="BK706" s="334">
        <f ca="1" t="shared" si="2179" ref="BK706:BR706">BK699/BK711</f>
        <v>5.2028836967962659</v>
      </c>
      <c r="BL706" s="334">
        <f t="shared" ca="1" si="2179"/>
        <v>3.0285645835475599</v>
      </c>
      <c r="BM706" s="334">
        <f t="shared" ca="1" si="2179"/>
        <v>4.3238613556359962</v>
      </c>
      <c r="BN706" s="334">
        <f t="shared" ca="1" si="2179"/>
        <v>6.0181760168581473</v>
      </c>
      <c r="BO706" s="1049">
        <f t="shared" ca="1" si="2179"/>
        <v>18.573485652837963</v>
      </c>
      <c r="BP706" s="1049">
        <f t="shared" ca="1" si="2179"/>
        <v>19.937622076876963</v>
      </c>
      <c r="BQ706" s="1049">
        <f t="shared" ca="1" si="2179"/>
        <v>20.435929893760733</v>
      </c>
      <c r="BR706" s="1049">
        <f t="shared" ca="1" si="2179"/>
        <v>21.010251525243628</v>
      </c>
      <c r="BS706" s="333"/>
    </row>
    <row r="707" spans="1:71" s="212" customFormat="1" ht="15">
      <c r="A707" s="421" t="s">
        <v>89</v>
      </c>
      <c r="B707" s="422"/>
      <c r="C707" s="1050"/>
      <c r="D707" s="1050"/>
      <c r="E707" s="1050"/>
      <c r="F707" s="1050"/>
      <c r="G707" s="1050"/>
      <c r="H707" s="424"/>
      <c r="I707" s="424"/>
      <c r="J707" s="424"/>
      <c r="K707" s="424"/>
      <c r="L707" s="1050"/>
      <c r="M707" s="424"/>
      <c r="N707" s="424"/>
      <c r="O707" s="424"/>
      <c r="P707" s="424"/>
      <c r="Q707" s="1050"/>
      <c r="R707" s="424"/>
      <c r="S707" s="425"/>
      <c r="T707" s="424"/>
      <c r="U707" s="424"/>
      <c r="V707" s="1050"/>
      <c r="W707" s="424"/>
      <c r="X707" s="425"/>
      <c r="Y707" s="424"/>
      <c r="Z707" s="424"/>
      <c r="AA707" s="1050"/>
      <c r="AB707" s="424"/>
      <c r="AC707" s="425"/>
      <c r="AD707" s="424"/>
      <c r="AE707" s="424"/>
      <c r="AF707" s="1050"/>
      <c r="AG707" s="424"/>
      <c r="AH707" s="425"/>
      <c r="AI707" s="424"/>
      <c r="AJ707" s="424"/>
      <c r="AK707" s="1050"/>
      <c r="AL707" s="424"/>
      <c r="AM707" s="425"/>
      <c r="AN707" s="424"/>
      <c r="AO707" s="424"/>
      <c r="AP707" s="1050"/>
      <c r="AQ707" s="424"/>
      <c r="AR707" s="425"/>
      <c r="AS707" s="424"/>
      <c r="AT707" s="424"/>
      <c r="AU707" s="1050"/>
      <c r="AV707" s="424"/>
      <c r="AW707" s="425"/>
      <c r="AX707" s="424"/>
      <c r="AY707" s="424"/>
      <c r="AZ707" s="1050"/>
      <c r="BA707" s="424"/>
      <c r="BB707" s="425"/>
      <c r="BC707" s="424"/>
      <c r="BD707" s="424"/>
      <c r="BE707" s="1050"/>
      <c r="BF707" s="424"/>
      <c r="BG707" s="425"/>
      <c r="BH707" s="808"/>
      <c r="BI707" s="795" t="str">
        <f ca="1" t="shared" si="2180" ref="BI707:BO707">IFERROR(VLOOKUP($A707,tb_ConsensusEstimate,MATCH(BI$5,OFFSET(tb_ConsensusEstimate,0,0,1,COLUMNS(tb_ConsensusEstimate)),0),FALSE),"-")</f>
        <v>N/A</v>
      </c>
      <c r="BJ707" s="1051" t="str">
        <f t="shared" ca="1" si="2180"/>
        <v>N/A</v>
      </c>
      <c r="BK707" s="795" t="str">
        <f t="shared" ca="1" si="2180"/>
        <v>N/A</v>
      </c>
      <c r="BL707" s="795" t="str">
        <f t="shared" ca="1" si="2180"/>
        <v>N/A</v>
      </c>
      <c r="BM707" s="795" t="str">
        <f t="shared" ca="1" si="2180"/>
        <v>N/A</v>
      </c>
      <c r="BN707" s="795" t="str">
        <f t="shared" ca="1" si="2180"/>
        <v>N/A</v>
      </c>
      <c r="BO707" s="1051" t="str">
        <f t="shared" ca="1" si="2180"/>
        <v>N/A</v>
      </c>
      <c r="BP707" s="1051" t="str">
        <f ca="1">IFERROR(VLOOKUP($A707,tb_ConsensusEstimate,MATCH(BP5,OFFSET(tb_ConsensusEstimate,0,0,1,COLUMNS(tb_ConsensusEstimate)),0),FALSE),"-")</f>
        <v>N/A</v>
      </c>
      <c r="BQ707" s="1051" t="str">
        <f ca="1">IFERROR(VLOOKUP($A707,tb_ConsensusEstimate,MATCH(BQ5,OFFSET(tb_ConsensusEstimate,0,0,1,COLUMNS(tb_ConsensusEstimate)),0),FALSE),"-")</f>
        <v>N/A</v>
      </c>
      <c r="BR707" s="1051" t="str">
        <f ca="1">IFERROR(VLOOKUP($A707,tb_ConsensusEstimate,MATCH(BR5,OFFSET(tb_ConsensusEstimate,0,0,1,COLUMNS(tb_ConsensusEstimate)),0),FALSE),"-")</f>
        <v>N/A</v>
      </c>
      <c r="BS707" s="210"/>
    </row>
    <row r="708" spans="1:71" s="22" customFormat="1" ht="15">
      <c r="A708" s="819"/>
      <c r="B708" s="508"/>
      <c r="C708" s="1010"/>
      <c r="D708" s="1010"/>
      <c r="E708" s="1010"/>
      <c r="F708" s="1010"/>
      <c r="G708" s="1010"/>
      <c r="H708" s="840"/>
      <c r="I708" s="840"/>
      <c r="J708" s="840"/>
      <c r="K708" s="840"/>
      <c r="L708" s="1010"/>
      <c r="M708" s="840"/>
      <c r="N708" s="840"/>
      <c r="O708" s="840"/>
      <c r="P708" s="840"/>
      <c r="Q708" s="1010"/>
      <c r="R708" s="840"/>
      <c r="S708" s="840"/>
      <c r="T708" s="840"/>
      <c r="U708" s="840"/>
      <c r="V708" s="1010"/>
      <c r="W708" s="840"/>
      <c r="X708" s="840"/>
      <c r="Y708" s="840"/>
      <c r="Z708" s="840"/>
      <c r="AA708" s="1010"/>
      <c r="AB708" s="840"/>
      <c r="AC708" s="840"/>
      <c r="AD708" s="840"/>
      <c r="AE708" s="840"/>
      <c r="AF708" s="1010"/>
      <c r="AG708" s="840"/>
      <c r="AH708" s="840"/>
      <c r="AI708" s="840"/>
      <c r="AJ708" s="840"/>
      <c r="AK708" s="1010"/>
      <c r="AL708" s="840"/>
      <c r="AM708" s="840"/>
      <c r="AN708" s="840"/>
      <c r="AO708" s="840"/>
      <c r="AP708" s="1010"/>
      <c r="AQ708" s="840"/>
      <c r="AR708" s="840"/>
      <c r="AS708" s="840"/>
      <c r="AT708" s="840"/>
      <c r="AU708" s="1010"/>
      <c r="AV708" s="840"/>
      <c r="AW708" s="840"/>
      <c r="AX708" s="840"/>
      <c r="AY708" s="840"/>
      <c r="AZ708" s="1010"/>
      <c r="BA708" s="840"/>
      <c r="BB708" s="840"/>
      <c r="BC708" s="840"/>
      <c r="BD708" s="840"/>
      <c r="BE708" s="1010"/>
      <c r="BF708" s="840"/>
      <c r="BG708" s="840"/>
      <c r="BH708" s="841"/>
      <c r="BI708" s="840"/>
      <c r="BJ708" s="1010"/>
      <c r="BK708" s="840"/>
      <c r="BL708" s="840"/>
      <c r="BM708" s="840"/>
      <c r="BN708" s="840"/>
      <c r="BO708" s="1010"/>
      <c r="BP708" s="1010"/>
      <c r="BQ708" s="1010"/>
      <c r="BR708" s="1010"/>
      <c r="BS708" s="822"/>
    </row>
    <row r="709" spans="1:71" s="22" customFormat="1" ht="15">
      <c r="A709" s="822" t="s">
        <v>90</v>
      </c>
      <c r="B709" s="508"/>
      <c r="C709" s="1052">
        <v>539.60</v>
      </c>
      <c r="D709" s="1052">
        <v>540.29999999999995</v>
      </c>
      <c r="E709" s="1052">
        <v>520.70000000000005</v>
      </c>
      <c r="F709" s="1052">
        <v>489.40</v>
      </c>
      <c r="G709" s="1052">
        <v>464.40</v>
      </c>
      <c r="H709" s="937">
        <v>446.40</v>
      </c>
      <c r="I709" s="937">
        <v>434.30</v>
      </c>
      <c r="J709" s="937">
        <v>424.50</v>
      </c>
      <c r="K709" s="937">
        <v>420.20</v>
      </c>
      <c r="L709" s="1052">
        <v>431.40</v>
      </c>
      <c r="M709" s="937">
        <v>415.80</v>
      </c>
      <c r="N709" s="937">
        <v>407</v>
      </c>
      <c r="O709" s="937">
        <v>397</v>
      </c>
      <c r="P709" s="937">
        <v>385</v>
      </c>
      <c r="Q709" s="1052">
        <v>401.10</v>
      </c>
      <c r="R709" s="937">
        <v>378.10</v>
      </c>
      <c r="S709" s="937">
        <v>373.60</v>
      </c>
      <c r="T709" s="937">
        <v>371.50</v>
      </c>
      <c r="U709" s="937">
        <v>368</v>
      </c>
      <c r="V709" s="1052">
        <v>372.80</v>
      </c>
      <c r="W709" s="937">
        <v>365.70</v>
      </c>
      <c r="X709" s="937">
        <v>363.60</v>
      </c>
      <c r="Y709" s="937">
        <v>361.30</v>
      </c>
      <c r="Z709" s="937">
        <v>357.50</v>
      </c>
      <c r="AA709" s="1052">
        <v>362</v>
      </c>
      <c r="AB709" s="937">
        <v>354.10</v>
      </c>
      <c r="AC709" s="937">
        <v>349.20</v>
      </c>
      <c r="AD709" s="937">
        <v>346</v>
      </c>
      <c r="AE709" s="937">
        <v>341.90</v>
      </c>
      <c r="AF709" s="1052">
        <v>347.80</v>
      </c>
      <c r="AG709" s="937">
        <v>332.60</v>
      </c>
      <c r="AH709" s="937">
        <v>332</v>
      </c>
      <c r="AI709" s="937">
        <v>327.70</v>
      </c>
      <c r="AJ709" s="937">
        <v>320.70</v>
      </c>
      <c r="AK709" s="1052">
        <v>328.20</v>
      </c>
      <c r="AL709" s="937">
        <v>317.39999999999998</v>
      </c>
      <c r="AM709" s="937">
        <v>313.70</v>
      </c>
      <c r="AN709" s="937">
        <v>311.20</v>
      </c>
      <c r="AO709" s="937">
        <v>304.30</v>
      </c>
      <c r="AP709" s="1052">
        <v>311.60000000000002</v>
      </c>
      <c r="AQ709" s="937">
        <v>302.50</v>
      </c>
      <c r="AR709" s="937">
        <v>298.80</v>
      </c>
      <c r="AS709" s="937">
        <v>293.10000000000002</v>
      </c>
      <c r="AT709" s="937">
        <v>285</v>
      </c>
      <c r="AU709" s="1052">
        <v>294.80</v>
      </c>
      <c r="AV709" s="937">
        <v>278.10000000000002</v>
      </c>
      <c r="AW709" s="937">
        <v>273.80</v>
      </c>
      <c r="AX709" s="937">
        <v>268.70</v>
      </c>
      <c r="AY709" s="937">
        <v>264.39999999999998</v>
      </c>
      <c r="AZ709" s="1052">
        <v>271.20</v>
      </c>
      <c r="BA709" s="937">
        <v>263.50</v>
      </c>
      <c r="BB709" s="937">
        <v>262.60000000000002</v>
      </c>
      <c r="BC709" s="937">
        <v>261.80</v>
      </c>
      <c r="BD709" s="937">
        <v>262.20</v>
      </c>
      <c r="BE709" s="1052">
        <v>262.50</v>
      </c>
      <c r="BF709" s="937">
        <v>263.50</v>
      </c>
      <c r="BG709" s="937">
        <v>264.10000000000002</v>
      </c>
      <c r="BH709" s="938">
        <v>264.60000000000002</v>
      </c>
      <c r="BI709" s="840">
        <f ca="1">AVERAGE(BH716,BI716)</f>
        <v>267.56600000000003</v>
      </c>
      <c r="BJ709" s="1010">
        <f ca="1">SUM(BF709*BF3,BG709*BG3,BH709*BH3,BI709*BI3)/BJ3</f>
        <v>264.94773770491804</v>
      </c>
      <c r="BK709" s="840">
        <f ca="1">AVERAGE(BJ716,BK716)</f>
        <v>267.56600000000003</v>
      </c>
      <c r="BL709" s="840">
        <f ca="1">AVERAGE(BK716,BL716)</f>
        <v>267.56600000000003</v>
      </c>
      <c r="BM709" s="840">
        <f ca="1">AVERAGE(BL716,BM716)</f>
        <v>267.56600000000003</v>
      </c>
      <c r="BN709" s="840">
        <f ca="1">AVERAGE(BM716,BN716)</f>
        <v>267.56600000000003</v>
      </c>
      <c r="BO709" s="1010">
        <f ca="1">SUM(BK709*BK3,BL709*BL3,BM709*BM3,BN709*BN3)/BO3</f>
        <v>267.56600000000003</v>
      </c>
      <c r="BP709" s="1010">
        <f ca="1">AVERAGE(BO716,BP716)</f>
        <v>267.56600000000003</v>
      </c>
      <c r="BQ709" s="1010">
        <f ca="1">AVERAGE(BP716,BQ716)</f>
        <v>267.56600000000003</v>
      </c>
      <c r="BR709" s="1010">
        <f ca="1">AVERAGE(BQ716,BR716)</f>
        <v>267.56600000000003</v>
      </c>
      <c r="BS709" s="822"/>
    </row>
    <row r="710" spans="1:71" s="22" customFormat="1" ht="15">
      <c r="A710" s="822" t="s">
        <v>91</v>
      </c>
      <c r="B710" s="508"/>
      <c r="C710" s="1052">
        <v>540.90</v>
      </c>
      <c r="D710" s="1052">
        <v>542.50</v>
      </c>
      <c r="E710" s="1052">
        <v>523.10</v>
      </c>
      <c r="F710" s="1052">
        <v>493</v>
      </c>
      <c r="G710" s="1052">
        <v>470.30</v>
      </c>
      <c r="H710" s="937">
        <v>452.80</v>
      </c>
      <c r="I710" s="937">
        <v>440.70</v>
      </c>
      <c r="J710" s="937">
        <v>431.20</v>
      </c>
      <c r="K710" s="937">
        <v>427.70</v>
      </c>
      <c r="L710" s="1052">
        <v>438.20</v>
      </c>
      <c r="M710" s="937">
        <v>422.60</v>
      </c>
      <c r="N710" s="937">
        <v>412.60</v>
      </c>
      <c r="O710" s="937">
        <v>402.10</v>
      </c>
      <c r="P710" s="937">
        <v>390.20</v>
      </c>
      <c r="Q710" s="1052">
        <v>406.80</v>
      </c>
      <c r="R710" s="937">
        <v>382.90</v>
      </c>
      <c r="S710" s="937">
        <v>378.10</v>
      </c>
      <c r="T710" s="937">
        <v>375.90</v>
      </c>
      <c r="U710" s="937">
        <v>372.50</v>
      </c>
      <c r="V710" s="1052">
        <v>377.30</v>
      </c>
      <c r="W710" s="937">
        <v>371.30</v>
      </c>
      <c r="X710" s="937">
        <v>369</v>
      </c>
      <c r="Y710" s="937">
        <v>367.10</v>
      </c>
      <c r="Z710" s="937">
        <v>363.80</v>
      </c>
      <c r="AA710" s="1052">
        <v>367.80</v>
      </c>
      <c r="AB710" s="937">
        <v>359.90</v>
      </c>
      <c r="AC710" s="937">
        <v>354.60</v>
      </c>
      <c r="AD710" s="937">
        <v>351.70</v>
      </c>
      <c r="AE710" s="851">
        <f>AE709</f>
        <v>341.90</v>
      </c>
      <c r="AF710" s="1052">
        <v>353.20</v>
      </c>
      <c r="AG710" s="937">
        <v>337.50</v>
      </c>
      <c r="AH710" s="937">
        <v>336.90</v>
      </c>
      <c r="AI710" s="937">
        <v>333</v>
      </c>
      <c r="AJ710" s="937">
        <v>326.30</v>
      </c>
      <c r="AK710" s="1052">
        <v>333.50</v>
      </c>
      <c r="AL710" s="937">
        <v>322.39999999999998</v>
      </c>
      <c r="AM710" s="937">
        <v>317</v>
      </c>
      <c r="AN710" s="937">
        <v>314.10000000000002</v>
      </c>
      <c r="AO710" s="937">
        <v>307.60000000000002</v>
      </c>
      <c r="AP710" s="1052">
        <v>315.50</v>
      </c>
      <c r="AQ710" s="937">
        <v>306.39999999999998</v>
      </c>
      <c r="AR710" s="937">
        <v>303.30</v>
      </c>
      <c r="AS710" s="937">
        <v>297.89999999999998</v>
      </c>
      <c r="AT710" s="937">
        <v>289</v>
      </c>
      <c r="AU710" s="1052">
        <v>299.10000000000002</v>
      </c>
      <c r="AV710" s="937">
        <v>281.80</v>
      </c>
      <c r="AW710" s="937">
        <v>273.80</v>
      </c>
      <c r="AX710" s="937">
        <v>268.70</v>
      </c>
      <c r="AY710" s="937">
        <v>264.39999999999998</v>
      </c>
      <c r="AZ710" s="1052">
        <v>271.20</v>
      </c>
      <c r="BA710" s="937">
        <v>263.50</v>
      </c>
      <c r="BB710" s="937">
        <v>262.60000000000002</v>
      </c>
      <c r="BC710" s="937">
        <v>261.80</v>
      </c>
      <c r="BD710" s="937">
        <v>264.70</v>
      </c>
      <c r="BE710" s="1052">
        <v>262.50</v>
      </c>
      <c r="BF710" s="937">
        <v>266.50</v>
      </c>
      <c r="BG710" s="937">
        <v>267.10000000000002</v>
      </c>
      <c r="BH710" s="938">
        <v>268</v>
      </c>
      <c r="BI710" s="840">
        <f ca="1">IF(BI696&lt;0,BI709,AVERAGE(BH730,BI730))</f>
        <v>271.13896199999999</v>
      </c>
      <c r="BJ710" s="1010">
        <f ca="1">IF(BJ696&lt;0,BJ709,SUM(AVERAGE(BE730,BF730)*BF3,AVERAGE(BF730,BG730)*BG3,AVERAGE(BG730,BH730)*BH3,AVERAGE(BH730,BI730)*BI3)/BJ3)</f>
        <v>269.74906695081967</v>
      </c>
      <c r="BK710" s="840">
        <f ca="1">IF(BK696&lt;0,BK709,AVERAGE(BJ730,BK730))</f>
        <v>271.31192400000003</v>
      </c>
      <c r="BL710" s="840">
        <f ca="1">IF(BL696&lt;0,BL709,AVERAGE(BK730,BL730))</f>
        <v>271.31192400000003</v>
      </c>
      <c r="BM710" s="840">
        <f ca="1">IF(BM696&lt;0,BM709,AVERAGE(BL730,BM730))</f>
        <v>271.31192400000003</v>
      </c>
      <c r="BN710" s="840">
        <f ca="1">IF(BN696&lt;0,BN709,AVERAGE(BM730,BN730))</f>
        <v>271.31192400000003</v>
      </c>
      <c r="BO710" s="1010">
        <f ca="1">IF(BO696&lt;0,BO709,SUM(AVERAGE(BJ730,BK730)*BK3,AVERAGE(BK730,BL730)*BL3,AVERAGE(BL730,BM730)*BM3,AVERAGE(BM730,BN730)*BN3)/BO3)</f>
        <v>271.31192400000003</v>
      </c>
      <c r="BP710" s="1010">
        <f ca="1">IF(BP696&lt;0,BP709,AVERAGE(BO730,BP730))</f>
        <v>271.31192400000003</v>
      </c>
      <c r="BQ710" s="1010">
        <f ca="1">IF(BQ696&lt;0,BQ709,AVERAGE(BP730,BQ730))</f>
        <v>271.31192400000003</v>
      </c>
      <c r="BR710" s="1010">
        <f ca="1">IF(BR696&lt;0,BR709,AVERAGE(BQ730,BR730))</f>
        <v>271.31192400000003</v>
      </c>
      <c r="BS710" s="822"/>
    </row>
    <row r="711" spans="1:71" s="22" customFormat="1" ht="15">
      <c r="A711" s="822" t="s">
        <v>92</v>
      </c>
      <c r="B711" s="508"/>
      <c r="C711" s="1053">
        <f t="shared" si="2181" ref="C711:AK711">C710</f>
        <v>540.90</v>
      </c>
      <c r="D711" s="1053">
        <f t="shared" si="2181"/>
        <v>542.50</v>
      </c>
      <c r="E711" s="1053">
        <f t="shared" si="2181"/>
        <v>523.10</v>
      </c>
      <c r="F711" s="1053">
        <f t="shared" si="2181"/>
        <v>493</v>
      </c>
      <c r="G711" s="1053">
        <f t="shared" si="2181"/>
        <v>470.30</v>
      </c>
      <c r="H711" s="851">
        <f t="shared" si="2181"/>
        <v>452.80</v>
      </c>
      <c r="I711" s="851">
        <f t="shared" si="2181"/>
        <v>440.70</v>
      </c>
      <c r="J711" s="851">
        <f t="shared" si="2181"/>
        <v>431.20</v>
      </c>
      <c r="K711" s="851">
        <f t="shared" si="2181"/>
        <v>427.70</v>
      </c>
      <c r="L711" s="1053">
        <f t="shared" si="2181"/>
        <v>438.20</v>
      </c>
      <c r="M711" s="851">
        <f t="shared" si="2181"/>
        <v>422.60</v>
      </c>
      <c r="N711" s="851">
        <f t="shared" si="2181"/>
        <v>412.60</v>
      </c>
      <c r="O711" s="851">
        <f t="shared" si="2181"/>
        <v>402.10</v>
      </c>
      <c r="P711" s="851">
        <f t="shared" si="2181"/>
        <v>390.20</v>
      </c>
      <c r="Q711" s="1053">
        <f t="shared" si="2181"/>
        <v>406.80</v>
      </c>
      <c r="R711" s="851">
        <f t="shared" si="2181"/>
        <v>382.90</v>
      </c>
      <c r="S711" s="851">
        <f t="shared" si="2181"/>
        <v>378.10</v>
      </c>
      <c r="T711" s="851">
        <f t="shared" si="2181"/>
        <v>375.90</v>
      </c>
      <c r="U711" s="851">
        <f t="shared" si="2181"/>
        <v>372.50</v>
      </c>
      <c r="V711" s="1053">
        <f t="shared" si="2181"/>
        <v>377.30</v>
      </c>
      <c r="W711" s="851">
        <f t="shared" si="2181"/>
        <v>371.30</v>
      </c>
      <c r="X711" s="851">
        <f t="shared" si="2181"/>
        <v>369</v>
      </c>
      <c r="Y711" s="851">
        <f t="shared" si="2181"/>
        <v>367.10</v>
      </c>
      <c r="Z711" s="851">
        <f t="shared" si="2181"/>
        <v>363.80</v>
      </c>
      <c r="AA711" s="1053">
        <f t="shared" si="2181"/>
        <v>367.80</v>
      </c>
      <c r="AB711" s="851">
        <f t="shared" si="2181"/>
        <v>359.90</v>
      </c>
      <c r="AC711" s="851">
        <f t="shared" si="2181"/>
        <v>354.60</v>
      </c>
      <c r="AD711" s="851">
        <f t="shared" si="2181"/>
        <v>351.70</v>
      </c>
      <c r="AE711" s="937">
        <v>347.10</v>
      </c>
      <c r="AF711" s="1053">
        <f t="shared" si="2181"/>
        <v>353.20</v>
      </c>
      <c r="AG711" s="851">
        <f t="shared" si="2181"/>
        <v>337.50</v>
      </c>
      <c r="AH711" s="851">
        <f t="shared" si="2181"/>
        <v>336.90</v>
      </c>
      <c r="AI711" s="851">
        <f t="shared" si="2181"/>
        <v>333</v>
      </c>
      <c r="AJ711" s="851">
        <f t="shared" si="2181"/>
        <v>326.30</v>
      </c>
      <c r="AK711" s="1053">
        <f t="shared" si="2181"/>
        <v>333.50</v>
      </c>
      <c r="AL711" s="851">
        <f>AL710</f>
        <v>322.39999999999998</v>
      </c>
      <c r="AM711" s="851">
        <f>AM710</f>
        <v>317</v>
      </c>
      <c r="AN711" s="851">
        <f>AN710</f>
        <v>314.10000000000002</v>
      </c>
      <c r="AO711" s="851">
        <f t="shared" si="2182" ref="AO711:AP711">AO710</f>
        <v>307.60000000000002</v>
      </c>
      <c r="AP711" s="1053">
        <f t="shared" si="2182"/>
        <v>315.50</v>
      </c>
      <c r="AQ711" s="851">
        <f t="shared" si="2183" ref="AQ711:AV711">AQ710</f>
        <v>306.39999999999998</v>
      </c>
      <c r="AR711" s="851">
        <f t="shared" si="2183"/>
        <v>303.30</v>
      </c>
      <c r="AS711" s="851">
        <f t="shared" si="2183"/>
        <v>297.89999999999998</v>
      </c>
      <c r="AT711" s="851">
        <f t="shared" si="2183"/>
        <v>289</v>
      </c>
      <c r="AU711" s="1053">
        <f t="shared" si="2183"/>
        <v>299.10000000000002</v>
      </c>
      <c r="AV711" s="851">
        <f t="shared" si="2183"/>
        <v>281.80</v>
      </c>
      <c r="AW711" s="851">
        <f t="shared" si="2184" ref="AW711:BA711">AW710</f>
        <v>273.80</v>
      </c>
      <c r="AX711" s="851">
        <f t="shared" si="2184"/>
        <v>268.70</v>
      </c>
      <c r="AY711" s="851">
        <f t="shared" si="2184"/>
        <v>264.39999999999998</v>
      </c>
      <c r="AZ711" s="1053">
        <f t="shared" si="2184"/>
        <v>271.20</v>
      </c>
      <c r="BA711" s="851">
        <f t="shared" si="2184"/>
        <v>263.50</v>
      </c>
      <c r="BB711" s="851">
        <f>BB710</f>
        <v>262.60000000000002</v>
      </c>
      <c r="BC711" s="937">
        <v>263.30</v>
      </c>
      <c r="BD711" s="851">
        <f>BD710</f>
        <v>264.70</v>
      </c>
      <c r="BE711" s="1052">
        <v>264.70</v>
      </c>
      <c r="BF711" s="851">
        <f>BF710</f>
        <v>266.50</v>
      </c>
      <c r="BG711" s="851">
        <f>BG710</f>
        <v>267.10000000000002</v>
      </c>
      <c r="BH711" s="938">
        <v>268</v>
      </c>
      <c r="BI711" s="840">
        <f ca="1">IF(BI699&lt;0,BI709,AVERAGE(BH730,BI730))</f>
        <v>271.13896199999999</v>
      </c>
      <c r="BJ711" s="1010">
        <f ca="1">IF(BJ699&lt;0,BJ709,SUM(AVERAGE(BE730,BF730)*BF3,AVERAGE(BF730,BG730)*BG3,AVERAGE(BG730,BH730)*BH3,AVERAGE(BH730,BI730)*BI3)/BJ3)</f>
        <v>269.74906695081967</v>
      </c>
      <c r="BK711" s="840">
        <f ca="1">IF(BK699&lt;0,BK709,AVERAGE(BJ730,BK730))</f>
        <v>271.31192400000003</v>
      </c>
      <c r="BL711" s="840">
        <f ca="1">IF(BL699&lt;0,BL709,AVERAGE(BK730,BL730))</f>
        <v>271.31192400000003</v>
      </c>
      <c r="BM711" s="840">
        <f ca="1">IF(BM699&lt;0,BM709,AVERAGE(BL730,BM730))</f>
        <v>271.31192400000003</v>
      </c>
      <c r="BN711" s="840">
        <f ca="1">IF(BN699&lt;0,BN709,AVERAGE(BM730,BN730))</f>
        <v>271.31192400000003</v>
      </c>
      <c r="BO711" s="1010">
        <f ca="1">IF(BO699&lt;0,BO709,SUM(AVERAGE(BJ730,BK730)*BK3,AVERAGE(BK730,BL730)*BL3,AVERAGE(BL730,BM730)*BM3,AVERAGE(BM730,BN730)*BN3)/BO3)</f>
        <v>271.31192400000003</v>
      </c>
      <c r="BP711" s="1010">
        <f ca="1">IF(BP699&lt;0,BP709,AVERAGE(BO730,BP730))</f>
        <v>271.31192400000003</v>
      </c>
      <c r="BQ711" s="1010">
        <f ca="1">IF(BQ699&lt;0,BQ709,AVERAGE(BP730,BQ730))</f>
        <v>271.31192400000003</v>
      </c>
      <c r="BR711" s="1010">
        <f ca="1">IF(BR699&lt;0,BR709,AVERAGE(BQ730,BR730))</f>
        <v>271.31192400000003</v>
      </c>
      <c r="BS711" s="822"/>
    </row>
    <row r="712" spans="1:71" s="22" customFormat="1" ht="15">
      <c r="A712" s="484"/>
      <c r="B712" s="508"/>
      <c r="C712" s="1010"/>
      <c r="D712" s="1010"/>
      <c r="E712" s="1010"/>
      <c r="F712" s="1010"/>
      <c r="G712" s="1010"/>
      <c r="H712" s="840"/>
      <c r="I712" s="840"/>
      <c r="J712" s="840"/>
      <c r="K712" s="840"/>
      <c r="L712" s="1010"/>
      <c r="M712" s="840"/>
      <c r="N712" s="840"/>
      <c r="O712" s="840"/>
      <c r="P712" s="840"/>
      <c r="Q712" s="1010"/>
      <c r="R712" s="840"/>
      <c r="S712" s="840"/>
      <c r="T712" s="840"/>
      <c r="U712" s="840"/>
      <c r="V712" s="1010"/>
      <c r="W712" s="840"/>
      <c r="X712" s="840"/>
      <c r="Y712" s="840"/>
      <c r="Z712" s="840"/>
      <c r="AA712" s="1010"/>
      <c r="AB712" s="840"/>
      <c r="AC712" s="840"/>
      <c r="AD712" s="840"/>
      <c r="AE712" s="840"/>
      <c r="AF712" s="1010"/>
      <c r="AG712" s="840"/>
      <c r="AH712" s="840"/>
      <c r="AI712" s="840"/>
      <c r="AJ712" s="840"/>
      <c r="AK712" s="1010"/>
      <c r="AL712" s="840"/>
      <c r="AM712" s="840"/>
      <c r="AN712" s="840"/>
      <c r="AO712" s="840"/>
      <c r="AP712" s="1010"/>
      <c r="AQ712" s="840"/>
      <c r="AR712" s="840"/>
      <c r="AS712" s="840"/>
      <c r="AT712" s="840"/>
      <c r="AU712" s="1010"/>
      <c r="AV712" s="840"/>
      <c r="AW712" s="840"/>
      <c r="AX712" s="840"/>
      <c r="AY712" s="840"/>
      <c r="AZ712" s="1010"/>
      <c r="BA712" s="840"/>
      <c r="BB712" s="840"/>
      <c r="BC712" s="840"/>
      <c r="BD712" s="840"/>
      <c r="BE712" s="1010"/>
      <c r="BF712" s="840"/>
      <c r="BG712" s="840"/>
      <c r="BH712" s="841"/>
      <c r="BI712" s="840"/>
      <c r="BJ712" s="1010"/>
      <c r="BK712" s="840"/>
      <c r="BL712" s="840"/>
      <c r="BM712" s="840"/>
      <c r="BN712" s="840"/>
      <c r="BO712" s="1010"/>
      <c r="BP712" s="1010"/>
      <c r="BQ712" s="1010"/>
      <c r="BR712" s="1010"/>
      <c r="BS712" s="822"/>
    </row>
    <row r="713" spans="1:71" s="22" customFormat="1" ht="15">
      <c r="A713" s="616" t="s">
        <v>885</v>
      </c>
      <c r="B713" s="617"/>
      <c r="C713" s="440"/>
      <c r="D713" s="440"/>
      <c r="E713" s="440"/>
      <c r="F713" s="440"/>
      <c r="G713" s="440"/>
      <c r="H713" s="440"/>
      <c r="I713" s="440"/>
      <c r="J713" s="440"/>
      <c r="K713" s="440"/>
      <c r="L713" s="440"/>
      <c r="M713" s="440"/>
      <c r="N713" s="440"/>
      <c r="O713" s="440"/>
      <c r="P713" s="440"/>
      <c r="Q713" s="440"/>
      <c r="R713" s="440"/>
      <c r="S713" s="440"/>
      <c r="T713" s="440"/>
      <c r="U713" s="440"/>
      <c r="V713" s="440"/>
      <c r="W713" s="440"/>
      <c r="X713" s="440"/>
      <c r="Y713" s="440"/>
      <c r="Z713" s="440"/>
      <c r="AA713" s="440"/>
      <c r="AB713" s="440"/>
      <c r="AC713" s="440"/>
      <c r="AD713" s="440"/>
      <c r="AE713" s="440"/>
      <c r="AF713" s="440"/>
      <c r="AG713" s="440"/>
      <c r="AH713" s="440"/>
      <c r="AI713" s="440"/>
      <c r="AJ713" s="440"/>
      <c r="AK713" s="440"/>
      <c r="AL713" s="440"/>
      <c r="AM713" s="440"/>
      <c r="AN713" s="440"/>
      <c r="AO713" s="440"/>
      <c r="AP713" s="440"/>
      <c r="AQ713" s="440"/>
      <c r="AR713" s="440"/>
      <c r="AS713" s="440"/>
      <c r="AT713" s="440"/>
      <c r="AU713" s="440"/>
      <c r="AV713" s="440"/>
      <c r="AW713" s="440"/>
      <c r="AX713" s="440"/>
      <c r="AY713" s="440"/>
      <c r="AZ713" s="440"/>
      <c r="BA713" s="440"/>
      <c r="BB713" s="440"/>
      <c r="BC713" s="440"/>
      <c r="BD713" s="440"/>
      <c r="BE713" s="440"/>
      <c r="BF713" s="440"/>
      <c r="BG713" s="440"/>
      <c r="BH713" s="727"/>
      <c r="BI713" s="440"/>
      <c r="BJ713" s="440"/>
      <c r="BK713" s="440"/>
      <c r="BL713" s="440"/>
      <c r="BM713" s="440"/>
      <c r="BN713" s="440"/>
      <c r="BO713" s="440"/>
      <c r="BP713" s="440"/>
      <c r="BQ713" s="440"/>
      <c r="BR713" s="440"/>
      <c r="BS713" s="822"/>
    </row>
    <row r="714" spans="1:71" s="22" customFormat="1" ht="15" customHeight="1" hidden="1" outlineLevel="1">
      <c r="A714" s="822" t="s">
        <v>921</v>
      </c>
      <c r="B714" s="508"/>
      <c r="C714" s="1052">
        <v>541.29999999999995</v>
      </c>
      <c r="D714" s="1052">
        <v>538.40</v>
      </c>
      <c r="E714" s="1052">
        <v>505.80</v>
      </c>
      <c r="F714" s="1052">
        <v>485.50</v>
      </c>
      <c r="G714" s="1052">
        <v>456.90</v>
      </c>
      <c r="H714" s="937">
        <v>441.10</v>
      </c>
      <c r="I714" s="937">
        <v>440.40</v>
      </c>
      <c r="J714" s="937">
        <v>426.30</v>
      </c>
      <c r="K714" s="851">
        <f>L714</f>
        <v>426.20</v>
      </c>
      <c r="L714" s="1052">
        <v>426.20</v>
      </c>
      <c r="M714" s="937">
        <v>415.40</v>
      </c>
      <c r="N714" s="937">
        <v>407.70</v>
      </c>
      <c r="O714" s="937">
        <v>394.60</v>
      </c>
      <c r="P714" s="851">
        <f>Q714</f>
        <v>386.10</v>
      </c>
      <c r="Q714" s="1052">
        <v>386.10</v>
      </c>
      <c r="R714" s="937">
        <v>380.30</v>
      </c>
      <c r="S714" s="937">
        <v>375</v>
      </c>
      <c r="T714" s="937">
        <v>372.70</v>
      </c>
      <c r="U714" s="851">
        <f>V714</f>
        <v>370.80</v>
      </c>
      <c r="V714" s="1052">
        <v>370.80</v>
      </c>
      <c r="W714" s="937">
        <v>370.40</v>
      </c>
      <c r="X714" s="937">
        <v>367</v>
      </c>
      <c r="Y714" s="937">
        <v>365.80</v>
      </c>
      <c r="Z714" s="851">
        <f>AA714</f>
        <v>361.30</v>
      </c>
      <c r="AA714" s="1052">
        <v>361.30</v>
      </c>
      <c r="AB714" s="937">
        <v>357.70</v>
      </c>
      <c r="AC714" s="937">
        <v>351.90</v>
      </c>
      <c r="AD714" s="937">
        <v>350.90</v>
      </c>
      <c r="AE714" s="851">
        <f>AF714</f>
        <v>336.70</v>
      </c>
      <c r="AF714" s="1052">
        <v>336.70</v>
      </c>
      <c r="AG714" s="937">
        <v>333</v>
      </c>
      <c r="AH714" s="937">
        <v>335.10</v>
      </c>
      <c r="AI714" s="937">
        <v>330.60</v>
      </c>
      <c r="AJ714" s="851">
        <f>AK714</f>
        <v>324.80</v>
      </c>
      <c r="AK714" s="1052">
        <v>324.80</v>
      </c>
      <c r="AL714" s="937">
        <v>318.70</v>
      </c>
      <c r="AM714" s="937">
        <v>315.80</v>
      </c>
      <c r="AN714" s="937">
        <v>307</v>
      </c>
      <c r="AO714" s="851">
        <f>AP714</f>
        <v>308.70</v>
      </c>
      <c r="AP714" s="1052">
        <v>308.70</v>
      </c>
      <c r="AQ714" s="937">
        <v>304</v>
      </c>
      <c r="AR714" s="937">
        <v>301.60000000000002</v>
      </c>
      <c r="AS714" s="937">
        <v>292.60000000000002</v>
      </c>
      <c r="AT714" s="851">
        <f>AU714</f>
        <v>284.70</v>
      </c>
      <c r="AU714" s="1052">
        <v>284.70</v>
      </c>
      <c r="AV714" s="937">
        <v>279.70</v>
      </c>
      <c r="AW714" s="937">
        <v>274.30</v>
      </c>
      <c r="AX714" s="937">
        <v>269.10000000000002</v>
      </c>
      <c r="AY714" s="840">
        <f>AZ714</f>
        <v>267</v>
      </c>
      <c r="AZ714" s="1052">
        <v>267</v>
      </c>
      <c r="BA714" s="937">
        <v>264.70</v>
      </c>
      <c r="BB714" s="937">
        <v>263.50</v>
      </c>
      <c r="BC714" s="937">
        <v>263.50</v>
      </c>
      <c r="BD714" s="851">
        <f>BE714</f>
        <v>265.50</v>
      </c>
      <c r="BE714" s="1052">
        <v>265.50</v>
      </c>
      <c r="BF714" s="937">
        <v>267.19</v>
      </c>
      <c r="BG714" s="937">
        <v>267</v>
      </c>
      <c r="BH714" s="938">
        <v>268.30</v>
      </c>
      <c r="BI714" s="840">
        <f ca="1">BI716+BI715</f>
        <v>268.30</v>
      </c>
      <c r="BJ714" s="1010">
        <f ca="1">BI714</f>
        <v>268.30</v>
      </c>
      <c r="BK714" s="840">
        <f ca="1">BK716+BK715</f>
        <v>268.30</v>
      </c>
      <c r="BL714" s="840">
        <f ca="1">BL716+BL715</f>
        <v>268.30</v>
      </c>
      <c r="BM714" s="840">
        <f ca="1">BM716+BM715</f>
        <v>268.30</v>
      </c>
      <c r="BN714" s="840">
        <f ca="1">BN716+BN715</f>
        <v>268.30</v>
      </c>
      <c r="BO714" s="1010">
        <f ca="1">BN714</f>
        <v>268.30</v>
      </c>
      <c r="BP714" s="1010">
        <f ca="1">BP716+BP715</f>
        <v>268.30</v>
      </c>
      <c r="BQ714" s="1010">
        <f ca="1">BQ716+BQ715</f>
        <v>268.30</v>
      </c>
      <c r="BR714" s="1010">
        <f ca="1">BR716+BR715</f>
        <v>268.30</v>
      </c>
      <c r="BS714" s="822"/>
    </row>
    <row r="715" spans="1:71" s="22" customFormat="1" ht="15" customHeight="1" hidden="1" outlineLevel="1">
      <c r="A715" s="654" t="s">
        <v>926</v>
      </c>
      <c r="B715" s="655"/>
      <c r="C715" s="1054"/>
      <c r="D715" s="1054"/>
      <c r="E715" s="1054"/>
      <c r="F715" s="1055">
        <v>0.437</v>
      </c>
      <c r="G715" s="1055">
        <v>0.84299999999999997</v>
      </c>
      <c r="H715" s="858">
        <f>G715</f>
        <v>0.84299999999999997</v>
      </c>
      <c r="I715" s="858">
        <f>G715</f>
        <v>0.84299999999999997</v>
      </c>
      <c r="J715" s="858">
        <f>G715</f>
        <v>0.84299999999999997</v>
      </c>
      <c r="K715" s="856">
        <f>L715</f>
        <v>1.304</v>
      </c>
      <c r="L715" s="1055">
        <v>1.304</v>
      </c>
      <c r="M715" s="858">
        <f>L715</f>
        <v>1.304</v>
      </c>
      <c r="N715" s="858">
        <f>L715</f>
        <v>1.304</v>
      </c>
      <c r="O715" s="858">
        <f>L715</f>
        <v>1.304</v>
      </c>
      <c r="P715" s="856">
        <f>Q715</f>
        <v>0.93</v>
      </c>
      <c r="Q715" s="1055">
        <v>0.93</v>
      </c>
      <c r="R715" s="858">
        <f>Q715</f>
        <v>0.93</v>
      </c>
      <c r="S715" s="858">
        <f>Q715</f>
        <v>0.93</v>
      </c>
      <c r="T715" s="858">
        <f>Q715</f>
        <v>0.93</v>
      </c>
      <c r="U715" s="856">
        <f>V715</f>
        <v>0.91900000000000004</v>
      </c>
      <c r="V715" s="1055">
        <v>0.91900000000000004</v>
      </c>
      <c r="W715" s="858">
        <f>V715</f>
        <v>0.91900000000000004</v>
      </c>
      <c r="X715" s="858">
        <f>V715</f>
        <v>0.91900000000000004</v>
      </c>
      <c r="Y715" s="858">
        <f>V715</f>
        <v>0.91900000000000004</v>
      </c>
      <c r="Z715" s="856">
        <f>AA715</f>
        <v>1.0900000000000001</v>
      </c>
      <c r="AA715" s="1055">
        <v>1.0900000000000001</v>
      </c>
      <c r="AB715" s="858">
        <f>AA715</f>
        <v>1.0900000000000001</v>
      </c>
      <c r="AC715" s="858">
        <f>AA715</f>
        <v>1.0900000000000001</v>
      </c>
      <c r="AD715" s="858">
        <f>AA715</f>
        <v>1.0900000000000001</v>
      </c>
      <c r="AE715" s="856">
        <f>AF715</f>
        <v>1.248</v>
      </c>
      <c r="AF715" s="1055">
        <v>1.248</v>
      </c>
      <c r="AG715" s="858">
        <f>AF715</f>
        <v>1.248</v>
      </c>
      <c r="AH715" s="858">
        <f>AF715</f>
        <v>1.248</v>
      </c>
      <c r="AI715" s="858">
        <f>AF715</f>
        <v>1.248</v>
      </c>
      <c r="AJ715" s="856">
        <f>AK715</f>
        <v>1.181</v>
      </c>
      <c r="AK715" s="1055">
        <v>1.181</v>
      </c>
      <c r="AL715" s="858">
        <f>AK715</f>
        <v>1.181</v>
      </c>
      <c r="AM715" s="858">
        <f>AK715</f>
        <v>1.181</v>
      </c>
      <c r="AN715" s="858">
        <f>AK715</f>
        <v>1.181</v>
      </c>
      <c r="AO715" s="856">
        <f>AP715</f>
        <v>0.95099999999999996</v>
      </c>
      <c r="AP715" s="1055">
        <v>0.95099999999999996</v>
      </c>
      <c r="AQ715" s="858">
        <f>AP715</f>
        <v>0.95099999999999996</v>
      </c>
      <c r="AR715" s="858">
        <f>AP715</f>
        <v>0.95099999999999996</v>
      </c>
      <c r="AS715" s="858">
        <f>AP715</f>
        <v>0.95099999999999996</v>
      </c>
      <c r="AT715" s="856">
        <f>AU715</f>
        <v>0.97399999999999998</v>
      </c>
      <c r="AU715" s="1055">
        <v>0.97399999999999998</v>
      </c>
      <c r="AV715" s="858">
        <f>AU715</f>
        <v>0.97399999999999998</v>
      </c>
      <c r="AW715" s="858">
        <f>AU715</f>
        <v>0.97399999999999998</v>
      </c>
      <c r="AX715" s="858">
        <f>AU715</f>
        <v>0.97399999999999998</v>
      </c>
      <c r="AY715" s="856">
        <f>AZ715</f>
        <v>0.79600000000000004</v>
      </c>
      <c r="AZ715" s="1055">
        <v>0.79600000000000004</v>
      </c>
      <c r="BA715" s="858">
        <f>AZ715</f>
        <v>0.79600000000000004</v>
      </c>
      <c r="BB715" s="858">
        <f>AZ715</f>
        <v>0.79600000000000004</v>
      </c>
      <c r="BC715" s="858">
        <f>AZ715</f>
        <v>0.79600000000000004</v>
      </c>
      <c r="BD715" s="856">
        <f>BE715</f>
        <v>0.73399999999999999</v>
      </c>
      <c r="BE715" s="1055">
        <v>0.73399999999999999</v>
      </c>
      <c r="BF715" s="858">
        <f>BE715</f>
        <v>0.73399999999999999</v>
      </c>
      <c r="BG715" s="858">
        <f>BF715</f>
        <v>0.73399999999999999</v>
      </c>
      <c r="BH715" s="451">
        <f>BG715</f>
        <v>0.73399999999999999</v>
      </c>
      <c r="BI715" s="858">
        <f>BH715</f>
        <v>0.73399999999999999</v>
      </c>
      <c r="BJ715" s="1054">
        <f t="shared" si="2185" ref="BJ715">BI715</f>
        <v>0.73399999999999999</v>
      </c>
      <c r="BK715" s="858">
        <f>BJ715</f>
        <v>0.73399999999999999</v>
      </c>
      <c r="BL715" s="858">
        <f>BK715</f>
        <v>0.73399999999999999</v>
      </c>
      <c r="BM715" s="858">
        <f>BL715</f>
        <v>0.73399999999999999</v>
      </c>
      <c r="BN715" s="858">
        <f>BM715</f>
        <v>0.73399999999999999</v>
      </c>
      <c r="BO715" s="1054">
        <f>BN715</f>
        <v>0.73399999999999999</v>
      </c>
      <c r="BP715" s="1054">
        <f>BO715</f>
        <v>0.73399999999999999</v>
      </c>
      <c r="BQ715" s="1054">
        <f>BP715</f>
        <v>0.73399999999999999</v>
      </c>
      <c r="BR715" s="1054">
        <f>BQ715</f>
        <v>0.73399999999999999</v>
      </c>
      <c r="BS715" s="822"/>
    </row>
    <row r="716" spans="1:71" s="22" customFormat="1" ht="15" customHeight="1" hidden="1" outlineLevel="1">
      <c r="A716" s="413" t="s">
        <v>963</v>
      </c>
      <c r="B716" s="508"/>
      <c r="C716" s="1053">
        <f>C714-C715</f>
        <v>541.29999999999995</v>
      </c>
      <c r="D716" s="1053">
        <f t="shared" si="2186" ref="D716:BG716">D714-D715</f>
        <v>538.40</v>
      </c>
      <c r="E716" s="1053">
        <f t="shared" si="2186"/>
        <v>505.80</v>
      </c>
      <c r="F716" s="1053">
        <f t="shared" si="2186"/>
        <v>485.06299999999999</v>
      </c>
      <c r="G716" s="1053">
        <f t="shared" si="2186"/>
        <v>456.05699999999996</v>
      </c>
      <c r="H716" s="851">
        <f t="shared" si="2186"/>
        <v>440.25700000000001</v>
      </c>
      <c r="I716" s="851">
        <f t="shared" si="2186"/>
        <v>439.55699999999996</v>
      </c>
      <c r="J716" s="851">
        <f t="shared" si="2186"/>
        <v>425.45699999999999</v>
      </c>
      <c r="K716" s="851">
        <f t="shared" si="2186"/>
        <v>424.89600000000002</v>
      </c>
      <c r="L716" s="1053">
        <f t="shared" si="2186"/>
        <v>424.89600000000002</v>
      </c>
      <c r="M716" s="851">
        <f t="shared" si="2186"/>
        <v>414.096</v>
      </c>
      <c r="N716" s="851">
        <f t="shared" si="2186"/>
        <v>406.39600000000002</v>
      </c>
      <c r="O716" s="851">
        <f t="shared" si="2186"/>
        <v>393.29600000000005</v>
      </c>
      <c r="P716" s="851">
        <f t="shared" si="2186"/>
        <v>385.17</v>
      </c>
      <c r="Q716" s="1053">
        <f t="shared" si="2186"/>
        <v>385.17</v>
      </c>
      <c r="R716" s="851">
        <f t="shared" si="2186"/>
        <v>379.37</v>
      </c>
      <c r="S716" s="851">
        <f t="shared" si="2186"/>
        <v>374.07</v>
      </c>
      <c r="T716" s="851">
        <f t="shared" si="2186"/>
        <v>371.77</v>
      </c>
      <c r="U716" s="851">
        <f t="shared" si="2186"/>
        <v>369.88100000000003</v>
      </c>
      <c r="V716" s="1053">
        <f t="shared" si="2186"/>
        <v>369.88100000000003</v>
      </c>
      <c r="W716" s="851">
        <f t="shared" si="2186"/>
        <v>369.48099999999999</v>
      </c>
      <c r="X716" s="851">
        <f t="shared" si="2186"/>
        <v>366.08100000000002</v>
      </c>
      <c r="Y716" s="851">
        <f t="shared" si="2186"/>
        <v>364.88100000000003</v>
      </c>
      <c r="Z716" s="851">
        <f t="shared" si="2186"/>
        <v>360.21000000000004</v>
      </c>
      <c r="AA716" s="1053">
        <f t="shared" si="2186"/>
        <v>360.21000000000004</v>
      </c>
      <c r="AB716" s="851">
        <f t="shared" si="2186"/>
        <v>356.61</v>
      </c>
      <c r="AC716" s="851">
        <f t="shared" si="2186"/>
        <v>350.81</v>
      </c>
      <c r="AD716" s="851">
        <f t="shared" si="2186"/>
        <v>349.81</v>
      </c>
      <c r="AE716" s="851">
        <f t="shared" si="2186"/>
        <v>335.452</v>
      </c>
      <c r="AF716" s="1053">
        <f t="shared" si="2186"/>
        <v>335.452</v>
      </c>
      <c r="AG716" s="851">
        <f t="shared" si="2186"/>
        <v>331.75200000000001</v>
      </c>
      <c r="AH716" s="851">
        <f t="shared" si="2186"/>
        <v>333.85200000000003</v>
      </c>
      <c r="AI716" s="851">
        <f t="shared" si="2186"/>
        <v>329.35200000000003</v>
      </c>
      <c r="AJ716" s="851">
        <f t="shared" si="2186"/>
        <v>323.61900000000003</v>
      </c>
      <c r="AK716" s="1053">
        <f t="shared" si="2186"/>
        <v>323.61900000000003</v>
      </c>
      <c r="AL716" s="851">
        <f t="shared" si="2186"/>
        <v>317.51900000000001</v>
      </c>
      <c r="AM716" s="851">
        <f t="shared" si="2186"/>
        <v>314.61900000000003</v>
      </c>
      <c r="AN716" s="851">
        <f t="shared" si="2186"/>
        <v>305.81900000000002</v>
      </c>
      <c r="AO716" s="851">
        <f t="shared" si="2186"/>
        <v>307.74899999999997</v>
      </c>
      <c r="AP716" s="1053">
        <f t="shared" si="2186"/>
        <v>307.74899999999997</v>
      </c>
      <c r="AQ716" s="851">
        <f t="shared" si="2186"/>
        <v>303.04899999999998</v>
      </c>
      <c r="AR716" s="851">
        <f t="shared" si="2186"/>
        <v>300.649</v>
      </c>
      <c r="AS716" s="851">
        <f t="shared" si="2186"/>
        <v>291.649</v>
      </c>
      <c r="AT716" s="851">
        <f t="shared" si="2186"/>
        <v>283.726</v>
      </c>
      <c r="AU716" s="1053">
        <f t="shared" si="2186"/>
        <v>283.726</v>
      </c>
      <c r="AV716" s="851">
        <f t="shared" si="2186"/>
        <v>278.726</v>
      </c>
      <c r="AW716" s="851">
        <f t="shared" si="2186"/>
        <v>273.32600000000002</v>
      </c>
      <c r="AX716" s="851">
        <f t="shared" si="2186"/>
        <v>268.12600000000003</v>
      </c>
      <c r="AY716" s="840">
        <f t="shared" si="2186"/>
        <v>266.20400000000001</v>
      </c>
      <c r="AZ716" s="1010">
        <f t="shared" si="2186"/>
        <v>266.20400000000001</v>
      </c>
      <c r="BA716" s="851">
        <f t="shared" si="2186"/>
        <v>263.904</v>
      </c>
      <c r="BB716" s="851">
        <f t="shared" si="2186"/>
        <v>262.70400000000001</v>
      </c>
      <c r="BC716" s="851">
        <f t="shared" si="2186"/>
        <v>262.70400000000001</v>
      </c>
      <c r="BD716" s="840">
        <f t="shared" si="2186"/>
        <v>264.76600000000002</v>
      </c>
      <c r="BE716" s="1010">
        <f t="shared" si="2186"/>
        <v>264.76600000000002</v>
      </c>
      <c r="BF716" s="840">
        <f t="shared" si="2186"/>
        <v>266.45600000000002</v>
      </c>
      <c r="BG716" s="840">
        <f t="shared" si="2186"/>
        <v>266.26600000000002</v>
      </c>
      <c r="BH716" s="852">
        <f>BH714-BH715</f>
        <v>267.56600000000003</v>
      </c>
      <c r="BI716" s="840">
        <f ca="1">BH716*(1+BI717)+BI770/(BI771/BI791)</f>
        <v>267.56600000000003</v>
      </c>
      <c r="BJ716" s="1010">
        <f ca="1">BI716</f>
        <v>267.56600000000003</v>
      </c>
      <c r="BK716" s="840">
        <f ca="1">BJ716*(1+BK717)+BK770/(BK771/BK791)</f>
        <v>267.56600000000003</v>
      </c>
      <c r="BL716" s="840">
        <f ca="1">BK716*(1+BL717)+BL770/(BL771/BL791)</f>
        <v>267.56600000000003</v>
      </c>
      <c r="BM716" s="840">
        <f ca="1">BL716*(1+BM717)+BM770/(BM771/BM791)</f>
        <v>267.56600000000003</v>
      </c>
      <c r="BN716" s="840">
        <f ca="1">BM716*(1+BN717)+BN770/(BN771/BN791)</f>
        <v>267.56600000000003</v>
      </c>
      <c r="BO716" s="1010">
        <f ca="1">BN716</f>
        <v>267.56600000000003</v>
      </c>
      <c r="BP716" s="1010">
        <f ca="1">BO716*(1+BP718)+BP770/(BP771/BP791)</f>
        <v>267.56600000000003</v>
      </c>
      <c r="BQ716" s="1010">
        <f ca="1">BP716*(1+BQ718)+BQ770/(BQ771/BQ791)</f>
        <v>267.56600000000003</v>
      </c>
      <c r="BR716" s="1010">
        <f ca="1">BQ716*(1+BR718)+BR770/(BR771/BR791)</f>
        <v>267.56600000000003</v>
      </c>
      <c r="BS716" s="822"/>
    </row>
    <row r="717" spans="1:71" s="22" customFormat="1" ht="15" customHeight="1" hidden="1" outlineLevel="1">
      <c r="A717" s="646" t="s">
        <v>913</v>
      </c>
      <c r="B717" s="647"/>
      <c r="C717" s="1025"/>
      <c r="D717" s="1025"/>
      <c r="E717" s="1025"/>
      <c r="F717" s="1025"/>
      <c r="G717" s="1025"/>
      <c r="H717" s="650"/>
      <c r="I717" s="650"/>
      <c r="J717" s="650"/>
      <c r="K717" s="650"/>
      <c r="L717" s="1025"/>
      <c r="M717" s="650"/>
      <c r="N717" s="650"/>
      <c r="O717" s="650"/>
      <c r="P717" s="650"/>
      <c r="Q717" s="1025"/>
      <c r="R717" s="650"/>
      <c r="S717" s="650"/>
      <c r="T717" s="650"/>
      <c r="U717" s="650"/>
      <c r="V717" s="1025"/>
      <c r="W717" s="650"/>
      <c r="X717" s="650"/>
      <c r="Y717" s="650"/>
      <c r="Z717" s="650"/>
      <c r="AA717" s="1025"/>
      <c r="AB717" s="650"/>
      <c r="AC717" s="650"/>
      <c r="AD717" s="650"/>
      <c r="AE717" s="650"/>
      <c r="AF717" s="1025"/>
      <c r="AG717" s="650"/>
      <c r="AH717" s="650"/>
      <c r="AI717" s="650"/>
      <c r="AJ717" s="650"/>
      <c r="AK717" s="1025"/>
      <c r="AL717" s="650"/>
      <c r="AM717" s="650"/>
      <c r="AN717" s="650"/>
      <c r="AO717" s="650"/>
      <c r="AP717" s="1025"/>
      <c r="AQ717" s="650"/>
      <c r="AR717" s="650"/>
      <c r="AS717" s="650"/>
      <c r="AT717" s="650"/>
      <c r="AU717" s="1025"/>
      <c r="AV717" s="650"/>
      <c r="AW717" s="650"/>
      <c r="AX717" s="650"/>
      <c r="AY717" s="650"/>
      <c r="AZ717" s="1025"/>
      <c r="BA717" s="650"/>
      <c r="BB717" s="650"/>
      <c r="BC717" s="650"/>
      <c r="BD717" s="650"/>
      <c r="BE717" s="1025"/>
      <c r="BF717" s="650"/>
      <c r="BG717" s="650"/>
      <c r="BH717" s="752"/>
      <c r="BI717" s="925">
        <v>0</v>
      </c>
      <c r="BJ717" s="1025"/>
      <c r="BK717" s="925">
        <v>0</v>
      </c>
      <c r="BL717" s="925">
        <v>0</v>
      </c>
      <c r="BM717" s="925">
        <v>0</v>
      </c>
      <c r="BN717" s="925">
        <v>0</v>
      </c>
      <c r="BO717" s="1025"/>
      <c r="BP717" s="1025"/>
      <c r="BQ717" s="1025"/>
      <c r="BR717" s="1025"/>
      <c r="BS717" s="822"/>
    </row>
    <row r="718" spans="1:71" s="22" customFormat="1" ht="15" customHeight="1" hidden="1" outlineLevel="1">
      <c r="A718" s="646" t="s">
        <v>914</v>
      </c>
      <c r="B718" s="647"/>
      <c r="C718" s="1025"/>
      <c r="D718" s="1025"/>
      <c r="E718" s="1025"/>
      <c r="F718" s="1025"/>
      <c r="G718" s="1025"/>
      <c r="H718" s="650"/>
      <c r="I718" s="650"/>
      <c r="J718" s="650"/>
      <c r="K718" s="650"/>
      <c r="L718" s="1025"/>
      <c r="M718" s="650"/>
      <c r="N718" s="650"/>
      <c r="O718" s="650"/>
      <c r="P718" s="650"/>
      <c r="Q718" s="1025"/>
      <c r="R718" s="650"/>
      <c r="S718" s="650"/>
      <c r="T718" s="650"/>
      <c r="U718" s="650"/>
      <c r="V718" s="1025"/>
      <c r="W718" s="650"/>
      <c r="X718" s="650"/>
      <c r="Y718" s="650"/>
      <c r="Z718" s="650"/>
      <c r="AA718" s="1025"/>
      <c r="AB718" s="650"/>
      <c r="AC718" s="650"/>
      <c r="AD718" s="650"/>
      <c r="AE718" s="650"/>
      <c r="AF718" s="1025"/>
      <c r="AG718" s="650"/>
      <c r="AH718" s="650"/>
      <c r="AI718" s="650"/>
      <c r="AJ718" s="650"/>
      <c r="AK718" s="1025"/>
      <c r="AL718" s="650"/>
      <c r="AM718" s="650"/>
      <c r="AN718" s="650"/>
      <c r="AO718" s="650"/>
      <c r="AP718" s="1025"/>
      <c r="AQ718" s="650"/>
      <c r="AR718" s="650"/>
      <c r="AS718" s="650"/>
      <c r="AT718" s="650"/>
      <c r="AU718" s="1025"/>
      <c r="AV718" s="650"/>
      <c r="AW718" s="650"/>
      <c r="AX718" s="650"/>
      <c r="AY718" s="650"/>
      <c r="AZ718" s="1025"/>
      <c r="BA718" s="650"/>
      <c r="BB718" s="650"/>
      <c r="BC718" s="650"/>
      <c r="BD718" s="650"/>
      <c r="BE718" s="1025"/>
      <c r="BF718" s="650"/>
      <c r="BG718" s="650"/>
      <c r="BH718" s="752"/>
      <c r="BI718" s="650"/>
      <c r="BJ718" s="1025"/>
      <c r="BK718" s="650"/>
      <c r="BL718" s="650"/>
      <c r="BM718" s="650"/>
      <c r="BN718" s="650"/>
      <c r="BO718" s="1025"/>
      <c r="BP718" s="1034">
        <v>0</v>
      </c>
      <c r="BQ718" s="1034">
        <v>0</v>
      </c>
      <c r="BR718" s="1034">
        <v>0</v>
      </c>
      <c r="BS718" s="822"/>
    </row>
    <row r="719" spans="1:71" s="22" customFormat="1" ht="15" customHeight="1" hidden="1" outlineLevel="2">
      <c r="A719" s="646" t="s">
        <v>915</v>
      </c>
      <c r="B719" s="647"/>
      <c r="C719" s="1025"/>
      <c r="D719" s="1025"/>
      <c r="E719" s="1025"/>
      <c r="F719" s="1025"/>
      <c r="G719" s="1025"/>
      <c r="H719" s="650"/>
      <c r="I719" s="650"/>
      <c r="J719" s="650"/>
      <c r="K719" s="650"/>
      <c r="L719" s="1025"/>
      <c r="M719" s="650"/>
      <c r="N719" s="650"/>
      <c r="O719" s="650"/>
      <c r="P719" s="650"/>
      <c r="Q719" s="1025"/>
      <c r="R719" s="650"/>
      <c r="S719" s="650"/>
      <c r="T719" s="650"/>
      <c r="U719" s="650"/>
      <c r="V719" s="1025"/>
      <c r="W719" s="650"/>
      <c r="X719" s="650"/>
      <c r="Y719" s="650"/>
      <c r="Z719" s="650"/>
      <c r="AA719" s="1025"/>
      <c r="AB719" s="650"/>
      <c r="AC719" s="650"/>
      <c r="AD719" s="650"/>
      <c r="AE719" s="650"/>
      <c r="AF719" s="1025"/>
      <c r="AG719" s="650"/>
      <c r="AH719" s="650"/>
      <c r="AI719" s="650"/>
      <c r="AJ719" s="650"/>
      <c r="AK719" s="1025"/>
      <c r="AL719" s="650"/>
      <c r="AM719" s="650"/>
      <c r="AN719" s="650"/>
      <c r="AO719" s="650"/>
      <c r="AP719" s="1025"/>
      <c r="AQ719" s="650"/>
      <c r="AR719" s="650"/>
      <c r="AS719" s="650"/>
      <c r="AT719" s="650"/>
      <c r="AU719" s="1025"/>
      <c r="AV719" s="650"/>
      <c r="AW719" s="650"/>
      <c r="AX719" s="650"/>
      <c r="AY719" s="650"/>
      <c r="AZ719" s="1025"/>
      <c r="BA719" s="650"/>
      <c r="BB719" s="650"/>
      <c r="BC719" s="650"/>
      <c r="BD719" s="650"/>
      <c r="BE719" s="1025"/>
      <c r="BF719" s="650"/>
      <c r="BG719" s="650"/>
      <c r="BH719" s="752"/>
      <c r="BI719" s="650">
        <f ca="1">BI770/(BI771/BI791)/BH714</f>
        <v>0</v>
      </c>
      <c r="BJ719" s="1025"/>
      <c r="BK719" s="650">
        <f ca="1">BK770/(BK771/BK791)/BI714</f>
        <v>0</v>
      </c>
      <c r="BL719" s="650">
        <f ca="1">BL770/(BL771/BL791)/BK714</f>
        <v>0</v>
      </c>
      <c r="BM719" s="650">
        <f ca="1">BM770/(BM771/BM791)/BL714</f>
        <v>0</v>
      </c>
      <c r="BN719" s="650">
        <f ca="1">BN770/(BN771/BN791)/BM714</f>
        <v>0</v>
      </c>
      <c r="BO719" s="1025"/>
      <c r="BP719" s="1025"/>
      <c r="BQ719" s="1025"/>
      <c r="BR719" s="1025"/>
      <c r="BS719" s="822"/>
    </row>
    <row r="720" spans="1:71" s="22" customFormat="1" ht="15" customHeight="1" hidden="1" outlineLevel="2">
      <c r="A720" s="656" t="s">
        <v>916</v>
      </c>
      <c r="B720" s="657"/>
      <c r="C720" s="1056"/>
      <c r="D720" s="1056"/>
      <c r="E720" s="1056"/>
      <c r="F720" s="1056"/>
      <c r="G720" s="1056"/>
      <c r="H720" s="658"/>
      <c r="I720" s="658"/>
      <c r="J720" s="658"/>
      <c r="K720" s="658"/>
      <c r="L720" s="1056"/>
      <c r="M720" s="658"/>
      <c r="N720" s="658"/>
      <c r="O720" s="658"/>
      <c r="P720" s="658"/>
      <c r="Q720" s="1056"/>
      <c r="R720" s="658"/>
      <c r="S720" s="658"/>
      <c r="T720" s="658"/>
      <c r="U720" s="658"/>
      <c r="V720" s="1056"/>
      <c r="W720" s="658"/>
      <c r="X720" s="658"/>
      <c r="Y720" s="658"/>
      <c r="Z720" s="658"/>
      <c r="AA720" s="1056"/>
      <c r="AB720" s="658"/>
      <c r="AC720" s="658"/>
      <c r="AD720" s="658"/>
      <c r="AE720" s="658"/>
      <c r="AF720" s="1056"/>
      <c r="AG720" s="658"/>
      <c r="AH720" s="658"/>
      <c r="AI720" s="658"/>
      <c r="AJ720" s="658"/>
      <c r="AK720" s="1056"/>
      <c r="AL720" s="658"/>
      <c r="AM720" s="658"/>
      <c r="AN720" s="658"/>
      <c r="AO720" s="658"/>
      <c r="AP720" s="1056"/>
      <c r="AQ720" s="658"/>
      <c r="AR720" s="658"/>
      <c r="AS720" s="658"/>
      <c r="AT720" s="658"/>
      <c r="AU720" s="1056"/>
      <c r="AV720" s="658"/>
      <c r="AW720" s="658"/>
      <c r="AX720" s="658"/>
      <c r="AY720" s="658"/>
      <c r="AZ720" s="1056"/>
      <c r="BA720" s="658"/>
      <c r="BB720" s="658"/>
      <c r="BC720" s="658"/>
      <c r="BD720" s="658"/>
      <c r="BE720" s="1056"/>
      <c r="BF720" s="658"/>
      <c r="BG720" s="658"/>
      <c r="BH720" s="765"/>
      <c r="BI720" s="658"/>
      <c r="BJ720" s="1056"/>
      <c r="BK720" s="658"/>
      <c r="BL720" s="658"/>
      <c r="BM720" s="658"/>
      <c r="BN720" s="658"/>
      <c r="BO720" s="1056">
        <f ca="1">BO770/(BO771/BO791)/BJ714</f>
        <v>0</v>
      </c>
      <c r="BP720" s="1056">
        <f ca="1">BP770/(BP771/BP791)/BO714</f>
        <v>0</v>
      </c>
      <c r="BQ720" s="1056">
        <f ca="1">BQ770/(BQ771/BQ791)/BP714</f>
        <v>0</v>
      </c>
      <c r="BR720" s="1056">
        <f ca="1">BR770/(BR771/BR791)/BQ714</f>
        <v>0</v>
      </c>
      <c r="BS720" s="822"/>
    </row>
    <row r="721" spans="1:71" s="22" customFormat="1" ht="15" customHeight="1" hidden="1" outlineLevel="1">
      <c r="A721" s="48" t="s">
        <v>917</v>
      </c>
      <c r="B721" s="647"/>
      <c r="C721" s="1025"/>
      <c r="D721" s="1025"/>
      <c r="E721" s="1025"/>
      <c r="F721" s="1025"/>
      <c r="G721" s="1025"/>
      <c r="H721" s="649">
        <f>H716/F716-1</f>
        <v>-0.092371506381645263</v>
      </c>
      <c r="I721" s="649">
        <f>I716/H716-1</f>
        <v>-0.0015899803978132176</v>
      </c>
      <c r="J721" s="649">
        <f>J716/I716-1</f>
        <v>-0.0320777510084016</v>
      </c>
      <c r="K721" s="649">
        <f>K716/J716-1</f>
        <v>-0.001318582136385027</v>
      </c>
      <c r="L721" s="1025"/>
      <c r="M721" s="649">
        <f>M716/K716-1</f>
        <v>-0.025417984636240454</v>
      </c>
      <c r="N721" s="649">
        <f>N716/M716-1</f>
        <v>-0.018594721996831653</v>
      </c>
      <c r="O721" s="649">
        <f>O716/N716-1</f>
        <v>-0.032234569237886146</v>
      </c>
      <c r="P721" s="649">
        <f>P716/O716-1</f>
        <v>-0.020661283104837169</v>
      </c>
      <c r="Q721" s="1025"/>
      <c r="R721" s="649">
        <f>R716/P716-1</f>
        <v>-0.015058285951657702</v>
      </c>
      <c r="S721" s="649">
        <f>S716/R716-1</f>
        <v>-0.013970530089358668</v>
      </c>
      <c r="T721" s="649">
        <f>T716/S716-1</f>
        <v>-0.0061485818162376749</v>
      </c>
      <c r="U721" s="649">
        <f>U716/T716-1</f>
        <v>-0.0050810985286601218</v>
      </c>
      <c r="V721" s="1025"/>
      <c r="W721" s="649">
        <f>W716/U716-1</f>
        <v>-0.0010814288919951398</v>
      </c>
      <c r="X721" s="649">
        <f>X716/W716-1</f>
        <v>-0.0092020969955152188</v>
      </c>
      <c r="Y721" s="649">
        <f>Y716/X716-1</f>
        <v>-0.0032779630737459486</v>
      </c>
      <c r="Z721" s="649">
        <f>Z716/Y716-1</f>
        <v>-0.012801433892145608</v>
      </c>
      <c r="AA721" s="1025"/>
      <c r="AB721" s="649">
        <f>AB716/Z716-1</f>
        <v>-0.0099941700674607281</v>
      </c>
      <c r="AC721" s="649">
        <f>AC716/AB716-1</f>
        <v>-0.016264266285297646</v>
      </c>
      <c r="AD721" s="649">
        <f>AD716/AC716-1</f>
        <v>-0.0028505458795359262</v>
      </c>
      <c r="AE721" s="649">
        <f>AE716/AD716-1</f>
        <v>-0.041045138789628677</v>
      </c>
      <c r="AF721" s="1025"/>
      <c r="AG721" s="649">
        <f>AG716/AE716-1</f>
        <v>-0.011029893993775519</v>
      </c>
      <c r="AH721" s="649">
        <f>AH716/AG716-1</f>
        <v>0.0063300296607105011</v>
      </c>
      <c r="AI721" s="649">
        <f>AI716/AH716-1</f>
        <v>-0.013479026634556579</v>
      </c>
      <c r="AJ721" s="649">
        <f>AJ716/AI716-1</f>
        <v>-0.01740690811047152</v>
      </c>
      <c r="AK721" s="1025"/>
      <c r="AL721" s="649">
        <f>AL716/AJ716-1</f>
        <v>-0.018849325904845005</v>
      </c>
      <c r="AM721" s="649">
        <f>AM716/AL716-1</f>
        <v>-0.0091333117073307823</v>
      </c>
      <c r="AN721" s="649">
        <f>AN716/AM716-1</f>
        <v>-0.027970338727158928</v>
      </c>
      <c r="AO721" s="649">
        <f>AO716/AN716-1</f>
        <v>0.0063109224737507574</v>
      </c>
      <c r="AP721" s="1025"/>
      <c r="AQ721" s="649">
        <f>AQ716/AO716-1</f>
        <v>-0.015272186099711038</v>
      </c>
      <c r="AR721" s="649">
        <f>AR716/AQ716-1</f>
        <v>-0.0079195113661486571</v>
      </c>
      <c r="AS721" s="649">
        <f>AS716/AR716-1</f>
        <v>-0.029935240097256233</v>
      </c>
      <c r="AT721" s="649">
        <f>AT716/AS716-1</f>
        <v>-0.02716621692513943</v>
      </c>
      <c r="AU721" s="1025"/>
      <c r="AV721" s="649">
        <f>AV716/AT716-1</f>
        <v>-0.017622635923390861</v>
      </c>
      <c r="AW721" s="649">
        <f>AW716/AV716-1</f>
        <v>-0.019373865373162102</v>
      </c>
      <c r="AX721" s="649">
        <f>AX716/AW716-1</f>
        <v>-0.019024900668066613</v>
      </c>
      <c r="AY721" s="650">
        <f>AY716/AX716-1</f>
        <v>-0.0071682716334858787</v>
      </c>
      <c r="AZ721" s="1025"/>
      <c r="BA721" s="649">
        <f>BA716/AY716-1</f>
        <v>-0.0086399903833150882</v>
      </c>
      <c r="BB721" s="649">
        <f>BB716/BA716-1</f>
        <v>-0.004547108039286929</v>
      </c>
      <c r="BC721" s="649">
        <f>BC716/BB716-1</f>
        <v>0</v>
      </c>
      <c r="BD721" s="650">
        <f>BD716/BC716-1</f>
        <v>0.0078491381935563709</v>
      </c>
      <c r="BE721" s="1025"/>
      <c r="BF721" s="650">
        <f>BF716/BD716-1</f>
        <v>0.0063829947954041621</v>
      </c>
      <c r="BG721" s="650">
        <f>BG716/BF716-1</f>
        <v>-0.00071306332002285533</v>
      </c>
      <c r="BH721" s="753">
        <f>BH716/BG716-1</f>
        <v>0.0048823357094034403</v>
      </c>
      <c r="BI721" s="650">
        <f ca="1">BI716/BH716-1</f>
        <v>0</v>
      </c>
      <c r="BJ721" s="1025"/>
      <c r="BK721" s="650">
        <f ca="1">BK716/BI716-1</f>
        <v>0</v>
      </c>
      <c r="BL721" s="650">
        <f ca="1">BL716/BK716-1</f>
        <v>0</v>
      </c>
      <c r="BM721" s="650">
        <f ca="1">BM716/BL716-1</f>
        <v>0</v>
      </c>
      <c r="BN721" s="650">
        <f ca="1">BN716/BM716-1</f>
        <v>0</v>
      </c>
      <c r="BO721" s="1025"/>
      <c r="BP721" s="1025"/>
      <c r="BQ721" s="1025"/>
      <c r="BR721" s="1025"/>
      <c r="BS721" s="822"/>
    </row>
    <row r="722" spans="1:71" s="22" customFormat="1" ht="15" customHeight="1" hidden="1" outlineLevel="1">
      <c r="A722" s="48" t="s">
        <v>918</v>
      </c>
      <c r="B722" s="647"/>
      <c r="C722" s="1025"/>
      <c r="D722" s="1033">
        <f>D716/C716-1</f>
        <v>-0.0053574727507851305</v>
      </c>
      <c r="E722" s="1033">
        <f>E716/D716-1</f>
        <v>-0.06054977711738474</v>
      </c>
      <c r="F722" s="1033">
        <f>F716/E716-1</f>
        <v>-0.040998418347172882</v>
      </c>
      <c r="G722" s="1033">
        <f>G716/F716-1</f>
        <v>-0.059798417937463877</v>
      </c>
      <c r="H722" s="650"/>
      <c r="I722" s="650"/>
      <c r="J722" s="650"/>
      <c r="K722" s="650"/>
      <c r="L722" s="1033">
        <f t="shared" si="2187" ref="L722:AQ722">L716/G716-1</f>
        <v>-0.068326985442609067</v>
      </c>
      <c r="M722" s="649">
        <f t="shared" si="2187"/>
        <v>-0.059422110267411954</v>
      </c>
      <c r="N722" s="649">
        <f t="shared" si="2187"/>
        <v>-0.075441865332596114</v>
      </c>
      <c r="O722" s="649">
        <f t="shared" si="2187"/>
        <v>-0.075591657911375121</v>
      </c>
      <c r="P722" s="649">
        <f t="shared" si="2187"/>
        <v>-0.093495820153637554</v>
      </c>
      <c r="Q722" s="1033">
        <f t="shared" si="2187"/>
        <v>-0.093495820153637554</v>
      </c>
      <c r="R722" s="649">
        <f t="shared" si="2187"/>
        <v>-0.083859781306750092</v>
      </c>
      <c r="S722" s="649">
        <f t="shared" si="2187"/>
        <v>-0.079543105739229736</v>
      </c>
      <c r="T722" s="649">
        <f t="shared" si="2187"/>
        <v>-0.054732313575525993</v>
      </c>
      <c r="U722" s="649">
        <f t="shared" si="2187"/>
        <v>-0.039694161019809382</v>
      </c>
      <c r="V722" s="1033">
        <f t="shared" si="2187"/>
        <v>-0.039694161019809382</v>
      </c>
      <c r="W722" s="649">
        <f t="shared" si="2187"/>
        <v>-0.026066900387484493</v>
      </c>
      <c r="X722" s="649">
        <f t="shared" si="2187"/>
        <v>-0.021356965273879203</v>
      </c>
      <c r="Y722" s="649">
        <f t="shared" si="2187"/>
        <v>-0.01853027409419794</v>
      </c>
      <c r="Z722" s="649">
        <f t="shared" si="2187"/>
        <v>-0.026146247036208936</v>
      </c>
      <c r="AA722" s="1033">
        <f t="shared" si="2187"/>
        <v>-0.026146247036208936</v>
      </c>
      <c r="AB722" s="649">
        <f t="shared" si="2187"/>
        <v>-0.034835350126258158</v>
      </c>
      <c r="AC722" s="649">
        <f t="shared" si="2187"/>
        <v>-0.041714811749312353</v>
      </c>
      <c r="AD722" s="649">
        <f t="shared" si="2187"/>
        <v>-0.041303877154469593</v>
      </c>
      <c r="AE722" s="649">
        <f t="shared" si="2187"/>
        <v>-0.068732128480608612</v>
      </c>
      <c r="AF722" s="1033">
        <f t="shared" si="2187"/>
        <v>-0.068732128480608612</v>
      </c>
      <c r="AG722" s="649">
        <f t="shared" si="2187"/>
        <v>-0.06970640195171196</v>
      </c>
      <c r="AH722" s="649">
        <f t="shared" si="2187"/>
        <v>-0.048339557025170232</v>
      </c>
      <c r="AI722" s="649">
        <f t="shared" si="2187"/>
        <v>-0.05848317658157276</v>
      </c>
      <c r="AJ722" s="649">
        <f t="shared" si="2187"/>
        <v>-0.035274793413066496</v>
      </c>
      <c r="AK722" s="1033">
        <f t="shared" si="2187"/>
        <v>-0.035274793413066496</v>
      </c>
      <c r="AL722" s="649">
        <f t="shared" si="2187"/>
        <v>-0.042902529600424399</v>
      </c>
      <c r="AM722" s="649">
        <f t="shared" si="2187"/>
        <v>-0.057609359836095053</v>
      </c>
      <c r="AN722" s="649">
        <f t="shared" si="2187"/>
        <v>-0.071452427797614737</v>
      </c>
      <c r="AO722" s="649">
        <f t="shared" si="2187"/>
        <v>-0.04903914788686714</v>
      </c>
      <c r="AP722" s="1033">
        <f t="shared" si="2187"/>
        <v>-0.04903914788686714</v>
      </c>
      <c r="AQ722" s="649">
        <f t="shared" si="2187"/>
        <v>-0.045572076001751172</v>
      </c>
      <c r="AR722" s="649">
        <f t="shared" si="2188" ref="AR722:BJ722">AR716/AM716-1</f>
        <v>-0.044402912729364807</v>
      </c>
      <c r="AS722" s="649">
        <f t="shared" si="2188"/>
        <v>-0.046334596607797485</v>
      </c>
      <c r="AT722" s="649">
        <f t="shared" si="2188"/>
        <v>-0.078060367377310591</v>
      </c>
      <c r="AU722" s="1033">
        <f t="shared" si="2188"/>
        <v>-0.078060367377310591</v>
      </c>
      <c r="AV722" s="649">
        <f t="shared" si="2188"/>
        <v>-0.080260947899514545</v>
      </c>
      <c r="AW722" s="649">
        <f t="shared" si="2188"/>
        <v>-0.090880062797481398</v>
      </c>
      <c r="AX722" s="649">
        <f t="shared" si="2188"/>
        <v>-0.080655171113221624</v>
      </c>
      <c r="AY722" s="650">
        <f t="shared" si="2188"/>
        <v>-0.061756765329930907</v>
      </c>
      <c r="AZ722" s="1025">
        <f t="shared" si="2188"/>
        <v>-0.061756765329930907</v>
      </c>
      <c r="BA722" s="649">
        <f t="shared" si="2188"/>
        <v>-0.053177672696483325</v>
      </c>
      <c r="BB722" s="649">
        <f t="shared" si="2188"/>
        <v>-0.038862018249270158</v>
      </c>
      <c r="BC722" s="649">
        <f t="shared" si="2188"/>
        <v>-0.020221836002476512</v>
      </c>
      <c r="BD722" s="650">
        <f t="shared" si="2188"/>
        <v>-0.0054018722483508697</v>
      </c>
      <c r="BE722" s="1025">
        <f t="shared" si="2188"/>
        <v>-0.0054018722483508697</v>
      </c>
      <c r="BF722" s="650">
        <f t="shared" si="2188"/>
        <v>0.0096701830968837221</v>
      </c>
      <c r="BG722" s="650">
        <f t="shared" si="2188"/>
        <v>0.013558986539984108</v>
      </c>
      <c r="BH722" s="753">
        <f>BH716/BC716-1</f>
        <v>0.01850752177355508</v>
      </c>
      <c r="BI722" s="650">
        <f ca="1">BI716/BD716-1</f>
        <v>0.010575375992385672</v>
      </c>
      <c r="BJ722" s="1025">
        <f t="shared" ca="1" si="2188"/>
        <v>0.010575375992385672</v>
      </c>
      <c r="BK722" s="650">
        <f ca="1">BK716/BF716-1</f>
        <v>0.0041657909748702426</v>
      </c>
      <c r="BL722" s="650">
        <f ca="1">BL716/BG716-1</f>
        <v>0.0048823357094034403</v>
      </c>
      <c r="BM722" s="650">
        <f ca="1">BM716/BH716-1</f>
        <v>0</v>
      </c>
      <c r="BN722" s="650">
        <f ca="1">BN716/BI716-1</f>
        <v>0</v>
      </c>
      <c r="BO722" s="1025">
        <f ca="1">BO716/BJ716-1</f>
        <v>0</v>
      </c>
      <c r="BP722" s="1025">
        <f ca="1">BP716/BO716-1</f>
        <v>0</v>
      </c>
      <c r="BQ722" s="1025">
        <f ca="1">BQ716/BP716-1</f>
        <v>0</v>
      </c>
      <c r="BR722" s="1025">
        <f ca="1">BR716/BQ716-1</f>
        <v>0</v>
      </c>
      <c r="BS722" s="822"/>
    </row>
    <row r="723" spans="1:71" s="22" customFormat="1" ht="15" customHeight="1" hidden="1" outlineLevel="1">
      <c r="A723" s="620"/>
      <c r="B723" s="508"/>
      <c r="C723" s="1010"/>
      <c r="D723" s="1010"/>
      <c r="E723" s="1010"/>
      <c r="F723" s="1010"/>
      <c r="G723" s="1010"/>
      <c r="H723" s="840"/>
      <c r="I723" s="840"/>
      <c r="J723" s="840"/>
      <c r="K723" s="840"/>
      <c r="L723" s="1010"/>
      <c r="M723" s="840"/>
      <c r="N723" s="840"/>
      <c r="O723" s="840"/>
      <c r="P723" s="840"/>
      <c r="Q723" s="1010"/>
      <c r="R723" s="840"/>
      <c r="S723" s="840"/>
      <c r="T723" s="840"/>
      <c r="U723" s="840"/>
      <c r="V723" s="1010"/>
      <c r="W723" s="840"/>
      <c r="X723" s="840"/>
      <c r="Y723" s="840"/>
      <c r="Z723" s="840"/>
      <c r="AA723" s="1010"/>
      <c r="AB723" s="840"/>
      <c r="AC723" s="840"/>
      <c r="AD723" s="840"/>
      <c r="AE723" s="840"/>
      <c r="AF723" s="1010"/>
      <c r="AG723" s="840"/>
      <c r="AH723" s="840"/>
      <c r="AI723" s="840"/>
      <c r="AJ723" s="840"/>
      <c r="AK723" s="1010"/>
      <c r="AL723" s="840"/>
      <c r="AM723" s="840"/>
      <c r="AN723" s="840"/>
      <c r="AO723" s="840"/>
      <c r="AP723" s="1010"/>
      <c r="AQ723" s="840"/>
      <c r="AR723" s="840"/>
      <c r="AS723" s="840"/>
      <c r="AT723" s="840"/>
      <c r="AU723" s="1010"/>
      <c r="AV723" s="840"/>
      <c r="AW723" s="840"/>
      <c r="AX723" s="840"/>
      <c r="AY723" s="840"/>
      <c r="AZ723" s="1010"/>
      <c r="BA723" s="840"/>
      <c r="BB723" s="840"/>
      <c r="BC723" s="840"/>
      <c r="BD723" s="840"/>
      <c r="BE723" s="1010"/>
      <c r="BF723" s="840"/>
      <c r="BG723" s="840"/>
      <c r="BH723" s="841"/>
      <c r="BI723" s="840"/>
      <c r="BJ723" s="1010"/>
      <c r="BK723" s="840"/>
      <c r="BL723" s="840"/>
      <c r="BM723" s="840"/>
      <c r="BN723" s="840"/>
      <c r="BO723" s="1010"/>
      <c r="BP723" s="1010"/>
      <c r="BQ723" s="1010"/>
      <c r="BR723" s="1010"/>
      <c r="BS723" s="822"/>
    </row>
    <row r="724" spans="1:71" s="22" customFormat="1" ht="15" customHeight="1" hidden="1" outlineLevel="1">
      <c r="A724" s="620" t="s">
        <v>922</v>
      </c>
      <c r="B724" s="508"/>
      <c r="C724" s="1052">
        <v>536.57124999999996</v>
      </c>
      <c r="D724" s="1052">
        <v>529.77002200000004</v>
      </c>
      <c r="E724" s="1052">
        <v>498.29407400000002</v>
      </c>
      <c r="F724" s="1052">
        <v>477.446258</v>
      </c>
      <c r="G724" s="1052">
        <v>447.09944999999999</v>
      </c>
      <c r="H724" s="937">
        <v>433.99114600000001</v>
      </c>
      <c r="I724" s="937">
        <v>433.40020900000002</v>
      </c>
      <c r="J724" s="937">
        <v>419.43328400000001</v>
      </c>
      <c r="K724" s="840">
        <f>L724</f>
        <v>416.42658499999999</v>
      </c>
      <c r="L724" s="1052">
        <v>416.42658499999999</v>
      </c>
      <c r="M724" s="937">
        <v>409.01296100000002</v>
      </c>
      <c r="N724" s="937">
        <v>400.38990000000001</v>
      </c>
      <c r="O724" s="937">
        <v>387.30617599999999</v>
      </c>
      <c r="P724" s="840">
        <f>Q724</f>
        <v>378.30042800000001</v>
      </c>
      <c r="Q724" s="1052">
        <v>378.30042800000001</v>
      </c>
      <c r="R724" s="937">
        <v>374.367234</v>
      </c>
      <c r="S724" s="937">
        <v>371.46091899999999</v>
      </c>
      <c r="T724" s="937">
        <v>368.24684500000001</v>
      </c>
      <c r="U724" s="840">
        <f>V724</f>
        <v>365.12909100000002</v>
      </c>
      <c r="V724" s="1052">
        <v>365.12909100000002</v>
      </c>
      <c r="W724" s="937">
        <v>364.51806699999997</v>
      </c>
      <c r="X724" s="937">
        <v>361.35956599999997</v>
      </c>
      <c r="Y724" s="937">
        <v>358.825941</v>
      </c>
      <c r="Z724" s="840">
        <f>AA724</f>
        <v>354.45809500000001</v>
      </c>
      <c r="AA724" s="1052">
        <v>354.45809500000001</v>
      </c>
      <c r="AB724" s="937">
        <v>351.48882500000002</v>
      </c>
      <c r="AC724" s="937">
        <v>346.23235499999998</v>
      </c>
      <c r="AD724" s="937">
        <v>344.44227000000001</v>
      </c>
      <c r="AE724" s="840">
        <f>AF724</f>
        <v>331.96310399999999</v>
      </c>
      <c r="AF724" s="1052">
        <v>331.96310399999999</v>
      </c>
      <c r="AG724" s="937">
        <v>333.10682700000001</v>
      </c>
      <c r="AH724" s="937">
        <v>329.19179200000002</v>
      </c>
      <c r="AI724" s="937">
        <v>323.95611600000001</v>
      </c>
      <c r="AJ724" s="840">
        <f>AK724</f>
        <v>316.91364800000002</v>
      </c>
      <c r="AK724" s="1052">
        <v>316.91364800000002</v>
      </c>
      <c r="AL724" s="937">
        <v>314.11609499999997</v>
      </c>
      <c r="AM724" s="937">
        <v>312.31615799999997</v>
      </c>
      <c r="AN724" s="937">
        <v>304.06802599999997</v>
      </c>
      <c r="AO724" s="840">
        <f>AP724</f>
        <v>302.87342599999999</v>
      </c>
      <c r="AP724" s="1052">
        <v>302.87342599999999</v>
      </c>
      <c r="AQ724" s="937">
        <v>299.338684</v>
      </c>
      <c r="AR724" s="937">
        <v>295.68140799999998</v>
      </c>
      <c r="AS724" s="937">
        <v>286.676041</v>
      </c>
      <c r="AT724" s="840">
        <f>AU724</f>
        <v>278.34606000000002</v>
      </c>
      <c r="AU724" s="1052">
        <v>278.34606000000002</v>
      </c>
      <c r="AV724" s="937">
        <v>274.98299800000001</v>
      </c>
      <c r="AW724" s="937">
        <v>270.29558800000001</v>
      </c>
      <c r="AX724" s="937">
        <v>265.20957399999998</v>
      </c>
      <c r="AY724" s="840">
        <f t="shared" si="2189" ref="AY724:AY725">AZ724</f>
        <v>263.3297</v>
      </c>
      <c r="AZ724" s="1052">
        <v>263.3297</v>
      </c>
      <c r="BA724" s="937">
        <v>262.85191500000002</v>
      </c>
      <c r="BB724" s="937">
        <v>261.57375400000001</v>
      </c>
      <c r="BC724" s="937">
        <v>261.68706400000002</v>
      </c>
      <c r="BD724" s="840">
        <f t="shared" si="2190" ref="BD724:BD725">BE724</f>
        <v>263.06741499999998</v>
      </c>
      <c r="BE724" s="1052">
        <v>263.06741499999998</v>
      </c>
      <c r="BF724" s="937">
        <v>263.91533199999998</v>
      </c>
      <c r="BG724" s="937">
        <v>264.04058900000001</v>
      </c>
      <c r="BH724" s="938">
        <v>264.80345899999998</v>
      </c>
      <c r="BI724" s="840"/>
      <c r="BJ724" s="1010"/>
      <c r="BK724" s="840"/>
      <c r="BL724" s="840"/>
      <c r="BM724" s="840"/>
      <c r="BN724" s="840"/>
      <c r="BO724" s="1010"/>
      <c r="BP724" s="1010"/>
      <c r="BQ724" s="1010"/>
      <c r="BR724" s="1010"/>
      <c r="BS724" s="822"/>
    </row>
    <row r="725" spans="1:71" s="22" customFormat="1" ht="15" customHeight="1" hidden="1" outlineLevel="1">
      <c r="A725" s="620" t="s">
        <v>923</v>
      </c>
      <c r="B725" s="508"/>
      <c r="C725" s="1057">
        <v>40210</v>
      </c>
      <c r="D725" s="1057">
        <v>40575</v>
      </c>
      <c r="E725" s="1057">
        <v>40940</v>
      </c>
      <c r="F725" s="1057">
        <v>41306</v>
      </c>
      <c r="G725" s="1057">
        <v>41670</v>
      </c>
      <c r="H725" s="941">
        <v>41751</v>
      </c>
      <c r="I725" s="941">
        <v>41836</v>
      </c>
      <c r="J725" s="941">
        <v>41927</v>
      </c>
      <c r="K725" s="619">
        <f>L725</f>
        <v>42034</v>
      </c>
      <c r="L725" s="1057">
        <v>42034</v>
      </c>
      <c r="M725" s="941">
        <v>42115</v>
      </c>
      <c r="N725" s="941">
        <v>42205</v>
      </c>
      <c r="O725" s="941">
        <v>42296</v>
      </c>
      <c r="P725" s="619">
        <f>Q725</f>
        <v>42398</v>
      </c>
      <c r="Q725" s="1057">
        <v>42398</v>
      </c>
      <c r="R725" s="941">
        <v>42479</v>
      </c>
      <c r="S725" s="941">
        <v>42569</v>
      </c>
      <c r="T725" s="941">
        <v>42661</v>
      </c>
      <c r="U725" s="619">
        <f>V725</f>
        <v>42766</v>
      </c>
      <c r="V725" s="1057">
        <v>42766</v>
      </c>
      <c r="W725" s="941">
        <v>42843</v>
      </c>
      <c r="X725" s="941">
        <v>42933</v>
      </c>
      <c r="Y725" s="941">
        <v>43025</v>
      </c>
      <c r="Z725" s="619">
        <f>AA725</f>
        <v>43131</v>
      </c>
      <c r="AA725" s="1057">
        <v>43131</v>
      </c>
      <c r="AB725" s="941">
        <v>43207</v>
      </c>
      <c r="AC725" s="941">
        <v>43298</v>
      </c>
      <c r="AD725" s="941">
        <v>43388</v>
      </c>
      <c r="AE725" s="619">
        <f>AF725</f>
        <v>43496</v>
      </c>
      <c r="AF725" s="1057">
        <v>43496</v>
      </c>
      <c r="AG725" s="941">
        <v>43570</v>
      </c>
      <c r="AH725" s="941">
        <v>43661</v>
      </c>
      <c r="AI725" s="941">
        <v>43752</v>
      </c>
      <c r="AJ725" s="619">
        <f>AK725</f>
        <v>43861</v>
      </c>
      <c r="AK725" s="1057">
        <v>43861</v>
      </c>
      <c r="AL725" s="941">
        <v>43941</v>
      </c>
      <c r="AM725" s="941">
        <v>44032</v>
      </c>
      <c r="AN725" s="941">
        <v>44123</v>
      </c>
      <c r="AO725" s="619">
        <f>AP725</f>
        <v>44225</v>
      </c>
      <c r="AP725" s="1057">
        <v>44225</v>
      </c>
      <c r="AQ725" s="941">
        <v>44305</v>
      </c>
      <c r="AR725" s="941">
        <v>44403</v>
      </c>
      <c r="AS725" s="941">
        <v>44494</v>
      </c>
      <c r="AT725" s="619">
        <f>AU725</f>
        <v>44592</v>
      </c>
      <c r="AU725" s="1057">
        <v>44592</v>
      </c>
      <c r="AV725" s="941">
        <v>44669</v>
      </c>
      <c r="AW725" s="941">
        <v>44760</v>
      </c>
      <c r="AX725" s="941">
        <v>44851</v>
      </c>
      <c r="AY725" s="619">
        <f t="shared" si="2189"/>
        <v>44957</v>
      </c>
      <c r="AZ725" s="1057">
        <v>44957</v>
      </c>
      <c r="BA725" s="941">
        <v>45033</v>
      </c>
      <c r="BB725" s="941">
        <v>45124</v>
      </c>
      <c r="BC725" s="941">
        <v>45215</v>
      </c>
      <c r="BD725" s="619">
        <f t="shared" si="2190"/>
        <v>45322</v>
      </c>
      <c r="BE725" s="1057">
        <v>45322</v>
      </c>
      <c r="BF725" s="941">
        <v>45397</v>
      </c>
      <c r="BG725" s="941">
        <v>45485</v>
      </c>
      <c r="BH725" s="942">
        <v>45579</v>
      </c>
      <c r="BI725" s="619"/>
      <c r="BJ725" s="1058"/>
      <c r="BK725" s="619"/>
      <c r="BL725" s="619"/>
      <c r="BM725" s="619"/>
      <c r="BN725" s="619"/>
      <c r="BO725" s="1058"/>
      <c r="BP725" s="1058"/>
      <c r="BQ725" s="1058"/>
      <c r="BR725" s="1058"/>
      <c r="BS725" s="822"/>
    </row>
    <row r="726" spans="1:71" s="22" customFormat="1" ht="15" customHeight="1" hidden="1" outlineLevel="1">
      <c r="A726" s="620"/>
      <c r="B726" s="508"/>
      <c r="C726" s="1058"/>
      <c r="D726" s="1058"/>
      <c r="E726" s="1058"/>
      <c r="F726" s="1058"/>
      <c r="G726" s="1058"/>
      <c r="H726" s="619"/>
      <c r="I726" s="619"/>
      <c r="J726" s="619"/>
      <c r="K726" s="619"/>
      <c r="L726" s="1058"/>
      <c r="M726" s="619"/>
      <c r="N726" s="619"/>
      <c r="O726" s="619"/>
      <c r="P726" s="619"/>
      <c r="Q726" s="1058"/>
      <c r="R726" s="619"/>
      <c r="S726" s="619"/>
      <c r="T726" s="619"/>
      <c r="U726" s="619"/>
      <c r="V726" s="1058"/>
      <c r="W726" s="619"/>
      <c r="X726" s="619"/>
      <c r="Y726" s="619"/>
      <c r="Z726" s="619"/>
      <c r="AA726" s="1058"/>
      <c r="AB726" s="619"/>
      <c r="AC726" s="619"/>
      <c r="AD726" s="619"/>
      <c r="AE726" s="619"/>
      <c r="AF726" s="1058"/>
      <c r="AG726" s="619"/>
      <c r="AH726" s="619"/>
      <c r="AI726" s="619"/>
      <c r="AJ726" s="619"/>
      <c r="AK726" s="1058"/>
      <c r="AL726" s="619"/>
      <c r="AM726" s="619"/>
      <c r="AN726" s="619"/>
      <c r="AO726" s="619"/>
      <c r="AP726" s="1058"/>
      <c r="AQ726" s="619"/>
      <c r="AR726" s="619"/>
      <c r="AS726" s="619"/>
      <c r="AT726" s="619"/>
      <c r="AU726" s="1058"/>
      <c r="AV726" s="619"/>
      <c r="AW726" s="619"/>
      <c r="AX726" s="619"/>
      <c r="AY726" s="619"/>
      <c r="AZ726" s="1058"/>
      <c r="BA726" s="619"/>
      <c r="BB726" s="619"/>
      <c r="BC726" s="619"/>
      <c r="BD726" s="619"/>
      <c r="BE726" s="1058"/>
      <c r="BF726" s="619"/>
      <c r="BG726" s="619"/>
      <c r="BH726" s="766"/>
      <c r="BI726" s="619"/>
      <c r="BJ726" s="1058"/>
      <c r="BK726" s="619"/>
      <c r="BL726" s="619"/>
      <c r="BM726" s="619"/>
      <c r="BN726" s="619"/>
      <c r="BO726" s="1058"/>
      <c r="BP726" s="1058"/>
      <c r="BQ726" s="1058"/>
      <c r="BR726" s="1058"/>
      <c r="BS726" s="822"/>
    </row>
    <row r="727" spans="1:71" s="22" customFormat="1" ht="15" customHeight="1" hidden="1" outlineLevel="1">
      <c r="A727" s="620" t="s">
        <v>924</v>
      </c>
      <c r="B727" s="508"/>
      <c r="C727" s="1010">
        <f>C710-C709</f>
        <v>1.2999999999999545</v>
      </c>
      <c r="D727" s="1010">
        <f t="shared" si="2191" ref="D727:K727">IF(D696&gt;0,(D710-D709),C727)</f>
        <v>2.2000000000000455</v>
      </c>
      <c r="E727" s="1010">
        <f t="shared" si="2191"/>
        <v>2.3999999999999773</v>
      </c>
      <c r="F727" s="1010">
        <f t="shared" si="2191"/>
        <v>3.6000000000000227</v>
      </c>
      <c r="G727" s="1010">
        <f t="shared" si="2191"/>
        <v>5.9000000000000341</v>
      </c>
      <c r="H727" s="840">
        <f t="shared" si="2191"/>
        <v>6.4000000000000341</v>
      </c>
      <c r="I727" s="840">
        <f t="shared" si="2191"/>
        <v>6.3999999999999773</v>
      </c>
      <c r="J727" s="840">
        <f t="shared" si="2191"/>
        <v>6.6999999999999886</v>
      </c>
      <c r="K727" s="840">
        <f t="shared" si="2191"/>
        <v>7.50</v>
      </c>
      <c r="L727" s="1010">
        <f>K727</f>
        <v>7.50</v>
      </c>
      <c r="M727" s="840">
        <f>IF(M696&gt;0,(M710-M709),L727)</f>
        <v>6.8000000000000114</v>
      </c>
      <c r="N727" s="840">
        <f>IF(N696&gt;0,(N710-N709),M727)</f>
        <v>5.6000000000000227</v>
      </c>
      <c r="O727" s="840">
        <f>IF(O696&gt;0,(O710-O709),N727)</f>
        <v>5.1000000000000227</v>
      </c>
      <c r="P727" s="840">
        <f>IF(P696&gt;0,(P710-P709),O727)</f>
        <v>5.1999999999999886</v>
      </c>
      <c r="Q727" s="1010">
        <f>P727</f>
        <v>5.1999999999999886</v>
      </c>
      <c r="R727" s="840">
        <f>IF(R696&gt;0,(R710-R709),Q727)</f>
        <v>4.7999999999999545</v>
      </c>
      <c r="S727" s="840">
        <f>IF(S696&gt;0,(S710-S709),R727)</f>
        <v>4.50</v>
      </c>
      <c r="T727" s="840">
        <f>IF(T696&gt;0,(T710-T709),S727)</f>
        <v>4.3999999999999773</v>
      </c>
      <c r="U727" s="840">
        <f>IF(U696&gt;0,(U710-U709),T727)</f>
        <v>4.50</v>
      </c>
      <c r="V727" s="1010">
        <f>U727</f>
        <v>4.50</v>
      </c>
      <c r="W727" s="840">
        <f>IF(W696&gt;0,(W710-W709),V727)</f>
        <v>5.6000000000000227</v>
      </c>
      <c r="X727" s="840">
        <f>IF(X696&gt;0,(X710-X709),W727)</f>
        <v>5.3999999999999773</v>
      </c>
      <c r="Y727" s="840">
        <f>IF(Y696&gt;0,(Y710-Y709),X727)</f>
        <v>5.8000000000000114</v>
      </c>
      <c r="Z727" s="840">
        <f>IF(Z696&gt;0,(Z710-Z709),Y727)</f>
        <v>6.3000000000000114</v>
      </c>
      <c r="AA727" s="1010">
        <f>Z727</f>
        <v>6.3000000000000114</v>
      </c>
      <c r="AB727" s="840">
        <f>IF(AB696&gt;0,(AB710-AB709),AA727)</f>
        <v>5.7999999999999545</v>
      </c>
      <c r="AC727" s="840">
        <f>IF(AC696&gt;0,(AC710-AC709),AB727)</f>
        <v>5.4000000000000341</v>
      </c>
      <c r="AD727" s="840">
        <f>IF(AD696&gt;0,(AD710-AD709),AC727)</f>
        <v>5.6999999999999886</v>
      </c>
      <c r="AE727" s="840">
        <f>IF(AE696&gt;0,(AE710-AE709),AD727)</f>
        <v>5.6999999999999886</v>
      </c>
      <c r="AF727" s="1010">
        <f>AE727</f>
        <v>5.6999999999999886</v>
      </c>
      <c r="AG727" s="840">
        <f>IF(AG696&gt;0,(AG710-AG709),AF727)</f>
        <v>4.8999999999999773</v>
      </c>
      <c r="AH727" s="840">
        <f>IF(AH696&gt;0,(AH710-AH709),AG727)</f>
        <v>4.8999999999999773</v>
      </c>
      <c r="AI727" s="840">
        <f>IF(AI696&gt;0,(AI710-AI709),AH727)</f>
        <v>5.3000000000000114</v>
      </c>
      <c r="AJ727" s="840">
        <f>IF(AJ696&gt;0,(AJ710-AJ709),AI727)</f>
        <v>5.6000000000000227</v>
      </c>
      <c r="AK727" s="1010">
        <f>AJ727</f>
        <v>5.6000000000000227</v>
      </c>
      <c r="AL727" s="840">
        <f>IF(AL696&gt;0,(AL710-AL709),AK727)</f>
        <v>5</v>
      </c>
      <c r="AM727" s="840">
        <f>IF(AM696&gt;0,(AM710-AM709),AL727)</f>
        <v>3.3000000000000114</v>
      </c>
      <c r="AN727" s="840">
        <f>IF(AN696&gt;0,(AN710-AN709),AM727)</f>
        <v>2.9000000000000341</v>
      </c>
      <c r="AO727" s="840">
        <f>IF(AO696&gt;0,(AO710-AO709),AN727)</f>
        <v>3.3000000000000114</v>
      </c>
      <c r="AP727" s="1010">
        <f>AO727</f>
        <v>3.3000000000000114</v>
      </c>
      <c r="AQ727" s="840">
        <f>IF(AQ696&gt;0,(AQ710-AQ709),AP727)</f>
        <v>3.3000000000000114</v>
      </c>
      <c r="AR727" s="840">
        <f>IF(AR696&gt;0,(AR710-AR709),AQ727)</f>
        <v>4.50</v>
      </c>
      <c r="AS727" s="840">
        <f>IF(AS696&gt;0,(AS710-AS709),AR727)</f>
        <v>4.7999999999999545</v>
      </c>
      <c r="AT727" s="840">
        <f>IF(AT696&gt;0,(AT710-AT709),AS727)</f>
        <v>4</v>
      </c>
      <c r="AU727" s="1010">
        <f>AT727</f>
        <v>4</v>
      </c>
      <c r="AV727" s="840">
        <f>IF(AV696&gt;0,(AV710-AV709),AU727)</f>
        <v>3.6999999999999886</v>
      </c>
      <c r="AW727" s="840">
        <f>IF(AW696&gt;0,(AW710-AW709),AV727)</f>
        <v>3.6999999999999886</v>
      </c>
      <c r="AX727" s="840">
        <f>IF(AX696&gt;0,(AX710-AX709),AW727)</f>
        <v>3.6999999999999886</v>
      </c>
      <c r="AY727" s="840">
        <f>IF(AY696&gt;0,(AY710-AY709),AX727)</f>
        <v>3.6999999999999886</v>
      </c>
      <c r="AZ727" s="1010">
        <f>AY727</f>
        <v>3.6999999999999886</v>
      </c>
      <c r="BA727" s="840">
        <f>IF(BA696&gt;0,(BA710-BA709),AZ727)</f>
        <v>3.6999999999999886</v>
      </c>
      <c r="BB727" s="840">
        <f>IF(BB696&gt;0,(BB710-BB709),BA727)</f>
        <v>3.6999999999999886</v>
      </c>
      <c r="BC727" s="840">
        <f>IF(BC696&gt;0,(BC710-BC709),BB727)</f>
        <v>3.6999999999999886</v>
      </c>
      <c r="BD727" s="851">
        <f>IF(BD696&gt;0,(BD710-BD709),BC727)</f>
        <v>2.50</v>
      </c>
      <c r="BE727" s="1053">
        <f>BD727</f>
        <v>2.50</v>
      </c>
      <c r="BF727" s="851">
        <f>IF(BF696&gt;0,(BF710-BF709),BE727)</f>
        <v>3</v>
      </c>
      <c r="BG727" s="840">
        <f>IF(BG696&gt;0,(BG710-BG709),BF727)</f>
        <v>3</v>
      </c>
      <c r="BH727" s="841">
        <f>IF(BH696&gt;0,(BH710-BH709),BG727)</f>
        <v>3.3999999999999773</v>
      </c>
      <c r="BI727" s="840">
        <f ca="1">BI716*BI728-BI716</f>
        <v>3.7459240000000023</v>
      </c>
      <c r="BJ727" s="1010">
        <f ca="1">BI727</f>
        <v>3.7459240000000023</v>
      </c>
      <c r="BK727" s="840">
        <f ca="1">BK716*BK728-BK716</f>
        <v>3.7459240000000023</v>
      </c>
      <c r="BL727" s="840">
        <f ca="1">BL716*BL728-BL716</f>
        <v>3.7459240000000023</v>
      </c>
      <c r="BM727" s="840">
        <f ca="1">BM716*BM728-BM716</f>
        <v>3.7459240000000023</v>
      </c>
      <c r="BN727" s="840">
        <f ca="1">BN716*BN728-BN716</f>
        <v>3.7459240000000023</v>
      </c>
      <c r="BO727" s="1010">
        <f ca="1">BN727</f>
        <v>3.7459240000000023</v>
      </c>
      <c r="BP727" s="1010">
        <f ca="1">BP716*BP728-BP716</f>
        <v>3.7459240000000023</v>
      </c>
      <c r="BQ727" s="1010">
        <f ca="1">BQ716*BQ728-BQ716</f>
        <v>3.7459240000000023</v>
      </c>
      <c r="BR727" s="1010">
        <f ca="1">BR716*BR728-BR716</f>
        <v>3.7459240000000023</v>
      </c>
      <c r="BS727" s="822"/>
    </row>
    <row r="728" spans="1:71" s="22" customFormat="1" ht="15" customHeight="1" hidden="1" outlineLevel="1">
      <c r="A728" s="660" t="s">
        <v>919</v>
      </c>
      <c r="B728" s="647"/>
      <c r="C728" s="1059">
        <f t="shared" si="2192" ref="C728:AH728">(C727+C716)/C716</f>
        <v>1.0024016257158692</v>
      </c>
      <c r="D728" s="1059">
        <f t="shared" si="2192"/>
        <v>1.0040861812778603</v>
      </c>
      <c r="E728" s="1059">
        <f t="shared" si="2192"/>
        <v>1.0047449584816133</v>
      </c>
      <c r="F728" s="1059">
        <f t="shared" si="2192"/>
        <v>1.0074217163543706</v>
      </c>
      <c r="G728" s="1059">
        <f t="shared" si="2192"/>
        <v>1.012936979368807</v>
      </c>
      <c r="H728" s="662">
        <f t="shared" si="2192"/>
        <v>1.0145369636371484</v>
      </c>
      <c r="I728" s="662">
        <f t="shared" si="2192"/>
        <v>1.0145601139328915</v>
      </c>
      <c r="J728" s="662">
        <f t="shared" si="2192"/>
        <v>1.0157477723953301</v>
      </c>
      <c r="K728" s="662">
        <f t="shared" si="2192"/>
        <v>1.0176513782196115</v>
      </c>
      <c r="L728" s="1059">
        <f t="shared" si="2192"/>
        <v>1.0176513782196115</v>
      </c>
      <c r="M728" s="662">
        <f t="shared" si="2192"/>
        <v>1.016421312932267</v>
      </c>
      <c r="N728" s="662">
        <f t="shared" si="2192"/>
        <v>1.0137796631856613</v>
      </c>
      <c r="O728" s="662">
        <f t="shared" si="2192"/>
        <v>1.0129673324925756</v>
      </c>
      <c r="P728" s="662">
        <f t="shared" si="2192"/>
        <v>1.0135005322325206</v>
      </c>
      <c r="Q728" s="1059">
        <f t="shared" si="2192"/>
        <v>1.0135005322325206</v>
      </c>
      <c r="R728" s="662">
        <f t="shared" si="2192"/>
        <v>1.0126525555526267</v>
      </c>
      <c r="S728" s="662">
        <f t="shared" si="2192"/>
        <v>1.0120298339882909</v>
      </c>
      <c r="T728" s="662">
        <f t="shared" si="2192"/>
        <v>1.0118352744976733</v>
      </c>
      <c r="U728" s="662">
        <f t="shared" si="2192"/>
        <v>1.0121660750349437</v>
      </c>
      <c r="V728" s="1059">
        <f t="shared" si="2192"/>
        <v>1.0121660750349437</v>
      </c>
      <c r="W728" s="662">
        <f t="shared" si="2192"/>
        <v>1.0151563950514371</v>
      </c>
      <c r="X728" s="662">
        <f t="shared" si="2192"/>
        <v>1.0147508338318567</v>
      </c>
      <c r="Y728" s="662">
        <f t="shared" si="2192"/>
        <v>1.0158955933578344</v>
      </c>
      <c r="Z728" s="662">
        <f t="shared" si="2192"/>
        <v>1.0174897976180561</v>
      </c>
      <c r="AA728" s="1059">
        <f t="shared" si="2192"/>
        <v>1.0174897976180561</v>
      </c>
      <c r="AB728" s="662">
        <f t="shared" si="2192"/>
        <v>1.0162642662852976</v>
      </c>
      <c r="AC728" s="662">
        <f t="shared" si="2192"/>
        <v>1.0153929477494941</v>
      </c>
      <c r="AD728" s="662">
        <f t="shared" si="2192"/>
        <v>1.0162945599039479</v>
      </c>
      <c r="AE728" s="662">
        <f t="shared" si="2192"/>
        <v>1.0169919988552758</v>
      </c>
      <c r="AF728" s="1059">
        <f t="shared" si="2192"/>
        <v>1.0169919988552758</v>
      </c>
      <c r="AG728" s="662">
        <f t="shared" si="2192"/>
        <v>1.0147700692083241</v>
      </c>
      <c r="AH728" s="662">
        <f t="shared" si="2192"/>
        <v>1.0146771623354061</v>
      </c>
      <c r="AI728" s="662">
        <f t="shared" si="2193" ref="AI728:BG728">(AI727+AI716)/AI716</f>
        <v>1.0160922053001045</v>
      </c>
      <c r="AJ728" s="662">
        <f t="shared" si="2193"/>
        <v>1.017304299191333</v>
      </c>
      <c r="AK728" s="1059">
        <f t="shared" si="2193"/>
        <v>1.017304299191333</v>
      </c>
      <c r="AL728" s="662">
        <f t="shared" si="2193"/>
        <v>1.0157470891505704</v>
      </c>
      <c r="AM728" s="662">
        <f t="shared" si="2193"/>
        <v>1.0104888770226845</v>
      </c>
      <c r="AN728" s="662">
        <f t="shared" si="2193"/>
        <v>1.0094827332507137</v>
      </c>
      <c r="AO728" s="662">
        <f t="shared" si="2193"/>
        <v>1.0107230242827758</v>
      </c>
      <c r="AP728" s="1059">
        <f t="shared" si="2193"/>
        <v>1.0107230242827758</v>
      </c>
      <c r="AQ728" s="662">
        <f t="shared" si="2193"/>
        <v>1.0108893281284546</v>
      </c>
      <c r="AR728" s="662">
        <f t="shared" si="2193"/>
        <v>1.0149676200486282</v>
      </c>
      <c r="AS728" s="662">
        <f t="shared" si="2193"/>
        <v>1.0164581397501791</v>
      </c>
      <c r="AT728" s="662">
        <f t="shared" si="2193"/>
        <v>1.0140981087387126</v>
      </c>
      <c r="AU728" s="1059">
        <f t="shared" si="2193"/>
        <v>1.0140981087387126</v>
      </c>
      <c r="AV728" s="662">
        <f t="shared" si="2193"/>
        <v>1.0132746855334629</v>
      </c>
      <c r="AW728" s="662">
        <f t="shared" si="2193"/>
        <v>1.0135369485522783</v>
      </c>
      <c r="AX728" s="662">
        <f t="shared" si="2193"/>
        <v>1.013799482332933</v>
      </c>
      <c r="AY728" s="662">
        <f t="shared" si="2193"/>
        <v>1.0138991149644634</v>
      </c>
      <c r="AZ728" s="1059">
        <f t="shared" si="2193"/>
        <v>1.0138991149644634</v>
      </c>
      <c r="BA728" s="662">
        <f t="shared" si="2193"/>
        <v>1.0140202497878015</v>
      </c>
      <c r="BB728" s="662">
        <f t="shared" si="2193"/>
        <v>1.0140842925878555</v>
      </c>
      <c r="BC728" s="662">
        <f t="shared" si="2193"/>
        <v>1.0140842925878555</v>
      </c>
      <c r="BD728" s="662">
        <f t="shared" si="2193"/>
        <v>1.0094422999932016</v>
      </c>
      <c r="BE728" s="1059">
        <f t="shared" si="2193"/>
        <v>1.0094422999932016</v>
      </c>
      <c r="BF728" s="662">
        <f t="shared" si="2193"/>
        <v>1.0112588945266761</v>
      </c>
      <c r="BG728" s="662">
        <f t="shared" si="2193"/>
        <v>1.0112669285601616</v>
      </c>
      <c r="BH728" s="804">
        <f>(BH727+BH716)/BH716</f>
        <v>1.0127071451529714</v>
      </c>
      <c r="BI728" s="943">
        <v>1.014</v>
      </c>
      <c r="BJ728" s="1059">
        <f ca="1">(BJ727+BJ716)/BJ716</f>
        <v>1.014</v>
      </c>
      <c r="BK728" s="943">
        <v>1.014</v>
      </c>
      <c r="BL728" s="943">
        <v>1.014</v>
      </c>
      <c r="BM728" s="943">
        <v>1.014</v>
      </c>
      <c r="BN728" s="943">
        <v>1.014</v>
      </c>
      <c r="BO728" s="1059">
        <f ca="1">(BO727+BO716)/BO716</f>
        <v>1.014</v>
      </c>
      <c r="BP728" s="1060">
        <v>1.014</v>
      </c>
      <c r="BQ728" s="1060">
        <v>1.014</v>
      </c>
      <c r="BR728" s="1060">
        <v>1.014</v>
      </c>
      <c r="BS728" s="822"/>
    </row>
    <row r="729" spans="1:71" s="22" customFormat="1" ht="15" customHeight="1" hidden="1" outlineLevel="1">
      <c r="A729" s="620"/>
      <c r="B729" s="508"/>
      <c r="C729" s="1058"/>
      <c r="D729" s="1058"/>
      <c r="E729" s="1058"/>
      <c r="F729" s="1058"/>
      <c r="G729" s="1058"/>
      <c r="H729" s="619"/>
      <c r="I729" s="619"/>
      <c r="J729" s="619"/>
      <c r="K729" s="619"/>
      <c r="L729" s="1058"/>
      <c r="M729" s="619"/>
      <c r="N729" s="619"/>
      <c r="O729" s="619"/>
      <c r="P729" s="619"/>
      <c r="Q729" s="1058"/>
      <c r="R729" s="619"/>
      <c r="S729" s="619"/>
      <c r="T729" s="619"/>
      <c r="U729" s="619"/>
      <c r="V729" s="1058"/>
      <c r="W729" s="619"/>
      <c r="X729" s="619"/>
      <c r="Y729" s="619"/>
      <c r="Z729" s="619"/>
      <c r="AA729" s="1058"/>
      <c r="AB729" s="619"/>
      <c r="AC729" s="619"/>
      <c r="AD729" s="619"/>
      <c r="AE729" s="619"/>
      <c r="AF729" s="1058"/>
      <c r="AG729" s="619"/>
      <c r="AH729" s="619"/>
      <c r="AI729" s="619"/>
      <c r="AJ729" s="619"/>
      <c r="AK729" s="1058"/>
      <c r="AL729" s="619"/>
      <c r="AM729" s="619"/>
      <c r="AN729" s="619"/>
      <c r="AO729" s="619"/>
      <c r="AP729" s="1058"/>
      <c r="AQ729" s="619"/>
      <c r="AR729" s="619"/>
      <c r="AS729" s="619"/>
      <c r="AT729" s="619"/>
      <c r="AU729" s="1058"/>
      <c r="AV729" s="619"/>
      <c r="AW729" s="619"/>
      <c r="AX729" s="619"/>
      <c r="AY729" s="619"/>
      <c r="AZ729" s="1058"/>
      <c r="BA729" s="619"/>
      <c r="BB729" s="619"/>
      <c r="BC729" s="619"/>
      <c r="BD729" s="619"/>
      <c r="BE729" s="1058"/>
      <c r="BF729" s="619"/>
      <c r="BG729" s="619"/>
      <c r="BH729" s="766"/>
      <c r="BI729" s="619"/>
      <c r="BJ729" s="1058"/>
      <c r="BK729" s="619"/>
      <c r="BL729" s="619"/>
      <c r="BM729" s="619"/>
      <c r="BN729" s="619"/>
      <c r="BO729" s="1058"/>
      <c r="BP729" s="1058"/>
      <c r="BQ729" s="1058"/>
      <c r="BR729" s="1058"/>
      <c r="BS729" s="822"/>
    </row>
    <row r="730" spans="1:71" s="22" customFormat="1" ht="15" customHeight="1" hidden="1" outlineLevel="1">
      <c r="A730" s="620" t="s">
        <v>925</v>
      </c>
      <c r="B730" s="508"/>
      <c r="C730" s="1010">
        <f>C716+C727</f>
        <v>542.59999999999991</v>
      </c>
      <c r="D730" s="1010">
        <f t="shared" si="2194" ref="D730:BJ730">D716+D727</f>
        <v>540.60</v>
      </c>
      <c r="E730" s="1010">
        <f t="shared" si="2194"/>
        <v>508.20</v>
      </c>
      <c r="F730" s="1010">
        <f t="shared" si="2194"/>
        <v>488.66300000000001</v>
      </c>
      <c r="G730" s="1010">
        <f t="shared" si="2194"/>
        <v>461.95699999999999</v>
      </c>
      <c r="H730" s="840">
        <f t="shared" si="2194"/>
        <v>446.65700000000004</v>
      </c>
      <c r="I730" s="840">
        <f t="shared" si="2194"/>
        <v>445.95699999999994</v>
      </c>
      <c r="J730" s="840">
        <f t="shared" si="2194"/>
        <v>432.15699999999998</v>
      </c>
      <c r="K730" s="840">
        <f t="shared" si="2194"/>
        <v>432.39600000000002</v>
      </c>
      <c r="L730" s="1010">
        <f t="shared" si="2194"/>
        <v>432.39600000000002</v>
      </c>
      <c r="M730" s="840">
        <f t="shared" si="2194"/>
        <v>420.89600000000002</v>
      </c>
      <c r="N730" s="840">
        <f t="shared" si="2194"/>
        <v>411.99600000000004</v>
      </c>
      <c r="O730" s="840">
        <f t="shared" si="2194"/>
        <v>398.39600000000007</v>
      </c>
      <c r="P730" s="840">
        <f t="shared" si="2194"/>
        <v>390.37</v>
      </c>
      <c r="Q730" s="1010">
        <f t="shared" si="2194"/>
        <v>390.37</v>
      </c>
      <c r="R730" s="840">
        <f t="shared" si="2194"/>
        <v>384.16999999999996</v>
      </c>
      <c r="S730" s="840">
        <f t="shared" si="2194"/>
        <v>378.57</v>
      </c>
      <c r="T730" s="840">
        <f t="shared" si="2194"/>
        <v>376.16999999999996</v>
      </c>
      <c r="U730" s="840">
        <f t="shared" si="2194"/>
        <v>374.38100000000003</v>
      </c>
      <c r="V730" s="1010">
        <f t="shared" si="2194"/>
        <v>374.38100000000003</v>
      </c>
      <c r="W730" s="840">
        <f t="shared" si="2194"/>
        <v>375.08100000000002</v>
      </c>
      <c r="X730" s="840">
        <f t="shared" si="2194"/>
        <v>371.48099999999999</v>
      </c>
      <c r="Y730" s="840">
        <f t="shared" si="2194"/>
        <v>370.68100000000004</v>
      </c>
      <c r="Z730" s="840">
        <f t="shared" si="2194"/>
        <v>366.51000000000005</v>
      </c>
      <c r="AA730" s="1010">
        <f t="shared" si="2194"/>
        <v>366.51000000000005</v>
      </c>
      <c r="AB730" s="840">
        <f t="shared" si="2194"/>
        <v>362.41</v>
      </c>
      <c r="AC730" s="840">
        <f t="shared" si="2194"/>
        <v>356.21000000000004</v>
      </c>
      <c r="AD730" s="840">
        <f t="shared" si="2194"/>
        <v>355.51</v>
      </c>
      <c r="AE730" s="840">
        <f t="shared" si="2194"/>
        <v>341.15199999999999</v>
      </c>
      <c r="AF730" s="1010">
        <f t="shared" si="2194"/>
        <v>341.15199999999999</v>
      </c>
      <c r="AG730" s="840">
        <f t="shared" si="2194"/>
        <v>336.65199999999999</v>
      </c>
      <c r="AH730" s="840">
        <f t="shared" si="2194"/>
        <v>338.75200000000001</v>
      </c>
      <c r="AI730" s="840">
        <f t="shared" si="2194"/>
        <v>334.65200000000004</v>
      </c>
      <c r="AJ730" s="840">
        <f t="shared" si="2194"/>
        <v>329.21900000000005</v>
      </c>
      <c r="AK730" s="1010">
        <f t="shared" si="2194"/>
        <v>329.21900000000005</v>
      </c>
      <c r="AL730" s="840">
        <f t="shared" si="2194"/>
        <v>322.51900000000001</v>
      </c>
      <c r="AM730" s="840">
        <f t="shared" si="2194"/>
        <v>317.91900000000004</v>
      </c>
      <c r="AN730" s="840">
        <f t="shared" si="2194"/>
        <v>308.71900000000005</v>
      </c>
      <c r="AO730" s="840">
        <f t="shared" si="2194"/>
        <v>311.04899999999998</v>
      </c>
      <c r="AP730" s="1010">
        <f t="shared" si="2194"/>
        <v>311.04899999999998</v>
      </c>
      <c r="AQ730" s="840">
        <f t="shared" si="2194"/>
        <v>306.34899999999999</v>
      </c>
      <c r="AR730" s="840">
        <f t="shared" si="2194"/>
        <v>305.149</v>
      </c>
      <c r="AS730" s="840">
        <f t="shared" si="2194"/>
        <v>296.44899999999996</v>
      </c>
      <c r="AT730" s="840">
        <f t="shared" si="2194"/>
        <v>287.726</v>
      </c>
      <c r="AU730" s="1010">
        <f t="shared" si="2194"/>
        <v>287.726</v>
      </c>
      <c r="AV730" s="840">
        <f t="shared" si="2194"/>
        <v>282.42599999999999</v>
      </c>
      <c r="AW730" s="840">
        <f t="shared" si="2194"/>
        <v>277.02600000000001</v>
      </c>
      <c r="AX730" s="840">
        <f t="shared" si="2194"/>
        <v>271.82600000000002</v>
      </c>
      <c r="AY730" s="840">
        <f t="shared" si="2194"/>
        <v>269.904</v>
      </c>
      <c r="AZ730" s="1010">
        <f t="shared" si="2194"/>
        <v>269.904</v>
      </c>
      <c r="BA730" s="840">
        <f t="shared" si="2194"/>
        <v>267.60399999999998</v>
      </c>
      <c r="BB730" s="840">
        <f t="shared" si="2194"/>
        <v>266.404</v>
      </c>
      <c r="BC730" s="840">
        <f t="shared" si="2194"/>
        <v>266.404</v>
      </c>
      <c r="BD730" s="851">
        <f t="shared" si="2195" ref="BD730:BE730">BD716+BD727</f>
        <v>267.26600000000002</v>
      </c>
      <c r="BE730" s="1053">
        <f t="shared" si="2195"/>
        <v>267.26600000000002</v>
      </c>
      <c r="BF730" s="840">
        <f>BF716+BF727</f>
        <v>269.45600000000002</v>
      </c>
      <c r="BG730" s="840">
        <f>BG716+BG727</f>
        <v>269.26600000000002</v>
      </c>
      <c r="BH730" s="841">
        <f>BH716+BH727</f>
        <v>270.96600000000001</v>
      </c>
      <c r="BI730" s="840">
        <f ca="1">BI716+BI727</f>
        <v>271.31192400000003</v>
      </c>
      <c r="BJ730" s="1010">
        <f t="shared" ca="1" si="2194"/>
        <v>271.31192400000003</v>
      </c>
      <c r="BK730" s="840">
        <f ca="1" t="shared" si="2196" ref="BK730:BR730">BK716+BK727</f>
        <v>271.31192400000003</v>
      </c>
      <c r="BL730" s="840">
        <f t="shared" ca="1" si="2196"/>
        <v>271.31192400000003</v>
      </c>
      <c r="BM730" s="840">
        <f t="shared" ca="1" si="2196"/>
        <v>271.31192400000003</v>
      </c>
      <c r="BN730" s="840">
        <f t="shared" ca="1" si="2196"/>
        <v>271.31192400000003</v>
      </c>
      <c r="BO730" s="1010">
        <f t="shared" ca="1" si="2196"/>
        <v>271.31192400000003</v>
      </c>
      <c r="BP730" s="1010">
        <f t="shared" ca="1" si="2196"/>
        <v>271.31192400000003</v>
      </c>
      <c r="BQ730" s="1010">
        <f t="shared" ca="1" si="2196"/>
        <v>271.31192400000003</v>
      </c>
      <c r="BR730" s="1010">
        <f t="shared" ca="1" si="2196"/>
        <v>271.31192400000003</v>
      </c>
      <c r="BS730" s="822"/>
    </row>
    <row r="731" spans="1:71" s="22" customFormat="1" ht="15" customHeight="1" collapsed="1">
      <c r="A731" s="620"/>
      <c r="B731" s="508"/>
      <c r="C731" s="1010"/>
      <c r="D731" s="1010"/>
      <c r="E731" s="1010"/>
      <c r="F731" s="1010"/>
      <c r="G731" s="1010"/>
      <c r="H731" s="840"/>
      <c r="I731" s="840"/>
      <c r="J731" s="840"/>
      <c r="K731" s="840"/>
      <c r="L731" s="1010"/>
      <c r="M731" s="840"/>
      <c r="N731" s="840"/>
      <c r="O731" s="840"/>
      <c r="P731" s="840"/>
      <c r="Q731" s="1010"/>
      <c r="R731" s="840"/>
      <c r="S731" s="840"/>
      <c r="T731" s="840"/>
      <c r="U731" s="840"/>
      <c r="V731" s="1010"/>
      <c r="W731" s="840"/>
      <c r="X731" s="840"/>
      <c r="Y731" s="840"/>
      <c r="Z731" s="840"/>
      <c r="AA731" s="1010"/>
      <c r="AB731" s="840"/>
      <c r="AC731" s="840"/>
      <c r="AD731" s="840"/>
      <c r="AE731" s="840"/>
      <c r="AF731" s="1010"/>
      <c r="AG731" s="840"/>
      <c r="AH731" s="840"/>
      <c r="AI731" s="840"/>
      <c r="AJ731" s="840"/>
      <c r="AK731" s="1010"/>
      <c r="AL731" s="840"/>
      <c r="AM731" s="840"/>
      <c r="AN731" s="840"/>
      <c r="AO731" s="840"/>
      <c r="AP731" s="1010"/>
      <c r="AQ731" s="840"/>
      <c r="AR731" s="840"/>
      <c r="AS731" s="840"/>
      <c r="AT731" s="840"/>
      <c r="AU731" s="1010"/>
      <c r="AV731" s="840"/>
      <c r="AW731" s="840"/>
      <c r="AX731" s="840"/>
      <c r="AY731" s="840"/>
      <c r="AZ731" s="1010"/>
      <c r="BA731" s="840"/>
      <c r="BB731" s="840"/>
      <c r="BC731" s="840"/>
      <c r="BD731" s="840"/>
      <c r="BE731" s="1010"/>
      <c r="BF731" s="840"/>
      <c r="BG731" s="840"/>
      <c r="BH731" s="841"/>
      <c r="BI731" s="840"/>
      <c r="BJ731" s="1010"/>
      <c r="BK731" s="840"/>
      <c r="BL731" s="840"/>
      <c r="BM731" s="840"/>
      <c r="BN731" s="840"/>
      <c r="BO731" s="1010"/>
      <c r="BP731" s="1010"/>
      <c r="BQ731" s="1010"/>
      <c r="BR731" s="1010"/>
      <c r="BS731" s="822"/>
    </row>
    <row r="732" spans="1:71" s="17" customFormat="1" ht="15">
      <c r="A732" s="818" t="s">
        <v>93</v>
      </c>
      <c r="B732" s="818"/>
      <c r="C732" s="837"/>
      <c r="D732" s="837"/>
      <c r="E732" s="837"/>
      <c r="F732" s="837"/>
      <c r="G732" s="837"/>
      <c r="H732" s="837"/>
      <c r="I732" s="837"/>
      <c r="J732" s="837"/>
      <c r="K732" s="837"/>
      <c r="L732" s="837"/>
      <c r="M732" s="837"/>
      <c r="N732" s="837"/>
      <c r="O732" s="837"/>
      <c r="P732" s="837"/>
      <c r="Q732" s="837"/>
      <c r="R732" s="837"/>
      <c r="S732" s="837"/>
      <c r="T732" s="837"/>
      <c r="U732" s="837"/>
      <c r="V732" s="837"/>
      <c r="W732" s="837"/>
      <c r="X732" s="837"/>
      <c r="Y732" s="837"/>
      <c r="Z732" s="837"/>
      <c r="AA732" s="837"/>
      <c r="AB732" s="837"/>
      <c r="AC732" s="837"/>
      <c r="AD732" s="837"/>
      <c r="AE732" s="837"/>
      <c r="AF732" s="837"/>
      <c r="AG732" s="837"/>
      <c r="AH732" s="837"/>
      <c r="AI732" s="837"/>
      <c r="AJ732" s="837"/>
      <c r="AK732" s="837"/>
      <c r="AL732" s="837"/>
      <c r="AM732" s="837"/>
      <c r="AN732" s="837"/>
      <c r="AO732" s="837"/>
      <c r="AP732" s="837"/>
      <c r="AQ732" s="837"/>
      <c r="AR732" s="837"/>
      <c r="AS732" s="837"/>
      <c r="AT732" s="837"/>
      <c r="AU732" s="837"/>
      <c r="AV732" s="837"/>
      <c r="AW732" s="837"/>
      <c r="AX732" s="837"/>
      <c r="AY732" s="837"/>
      <c r="AZ732" s="837"/>
      <c r="BA732" s="837"/>
      <c r="BB732" s="837"/>
      <c r="BC732" s="837"/>
      <c r="BD732" s="837"/>
      <c r="BE732" s="837"/>
      <c r="BF732" s="837"/>
      <c r="BG732" s="837"/>
      <c r="BH732" s="838"/>
      <c r="BI732" s="837"/>
      <c r="BJ732" s="837"/>
      <c r="BK732" s="837"/>
      <c r="BL732" s="837"/>
      <c r="BM732" s="837"/>
      <c r="BN732" s="837"/>
      <c r="BO732" s="837"/>
      <c r="BP732" s="837"/>
      <c r="BQ732" s="837"/>
      <c r="BR732" s="837"/>
      <c r="BS732" s="457"/>
    </row>
    <row r="733" spans="1:71" s="300" customFormat="1" ht="15">
      <c r="A733" s="226" t="s">
        <v>94</v>
      </c>
      <c r="B733" s="166"/>
      <c r="C733" s="993">
        <f t="shared" si="2197" ref="C733:AK733">C920</f>
        <v>-542</v>
      </c>
      <c r="D733" s="993">
        <f t="shared" si="2197"/>
        <v>-430</v>
      </c>
      <c r="E733" s="993">
        <f t="shared" si="2197"/>
        <v>-435</v>
      </c>
      <c r="F733" s="993">
        <f t="shared" si="2197"/>
        <v>-534</v>
      </c>
      <c r="G733" s="993">
        <f t="shared" si="2197"/>
        <v>-352</v>
      </c>
      <c r="H733" s="305">
        <f t="shared" si="2197"/>
        <v>-113</v>
      </c>
      <c r="I733" s="305">
        <f t="shared" si="2197"/>
        <v>-125</v>
      </c>
      <c r="J733" s="305">
        <f t="shared" si="2197"/>
        <v>-122</v>
      </c>
      <c r="K733" s="305">
        <f t="shared" si="2197"/>
        <v>-117</v>
      </c>
      <c r="L733" s="993">
        <f t="shared" si="2197"/>
        <v>-477</v>
      </c>
      <c r="M733" s="305">
        <f t="shared" si="2197"/>
        <v>-118</v>
      </c>
      <c r="N733" s="305">
        <f t="shared" si="2197"/>
        <v>-125</v>
      </c>
      <c r="O733" s="305">
        <f t="shared" si="2197"/>
        <v>-122</v>
      </c>
      <c r="P733" s="305">
        <f t="shared" si="2197"/>
        <v>-118</v>
      </c>
      <c r="Q733" s="993">
        <f t="shared" si="2197"/>
        <v>-483</v>
      </c>
      <c r="R733" s="305">
        <f t="shared" si="2197"/>
        <v>-115</v>
      </c>
      <c r="S733" s="305">
        <f t="shared" si="2197"/>
        <v>-125</v>
      </c>
      <c r="T733" s="305">
        <f t="shared" si="2197"/>
        <v>-124</v>
      </c>
      <c r="U733" s="305">
        <f t="shared" si="2197"/>
        <v>-122</v>
      </c>
      <c r="V733" s="993">
        <f t="shared" si="2197"/>
        <v>-486</v>
      </c>
      <c r="W733" s="305">
        <f t="shared" si="2197"/>
        <v>-122</v>
      </c>
      <c r="X733" s="305">
        <f t="shared" si="2197"/>
        <v>-135</v>
      </c>
      <c r="Y733" s="305">
        <f t="shared" si="2197"/>
        <v>-134</v>
      </c>
      <c r="Z733" s="305">
        <f t="shared" si="2197"/>
        <v>-134</v>
      </c>
      <c r="AA733" s="993">
        <f t="shared" si="2197"/>
        <v>-525</v>
      </c>
      <c r="AB733" s="305">
        <f t="shared" si="2197"/>
        <v>-132</v>
      </c>
      <c r="AC733" s="305">
        <f t="shared" si="2197"/>
        <v>-163</v>
      </c>
      <c r="AD733" s="305">
        <f t="shared" si="2197"/>
        <v>-160</v>
      </c>
      <c r="AE733" s="305">
        <f t="shared" si="2197"/>
        <v>-159</v>
      </c>
      <c r="AF733" s="993">
        <f t="shared" si="2197"/>
        <v>-614</v>
      </c>
      <c r="AG733" s="305">
        <f t="shared" si="2197"/>
        <v>-158</v>
      </c>
      <c r="AH733" s="305">
        <f t="shared" si="2197"/>
        <v>-166</v>
      </c>
      <c r="AI733" s="305">
        <f t="shared" si="2197"/>
        <v>-166</v>
      </c>
      <c r="AJ733" s="305">
        <f t="shared" si="2197"/>
        <v>-163</v>
      </c>
      <c r="AK733" s="993">
        <f t="shared" si="2197"/>
        <v>-653</v>
      </c>
      <c r="AL733" s="305">
        <f>AL920</f>
        <v>-159</v>
      </c>
      <c r="AM733" s="305">
        <f>AM920</f>
        <v>-172</v>
      </c>
      <c r="AN733" s="305">
        <f>AN920</f>
        <v>-169</v>
      </c>
      <c r="AO733" s="305">
        <f t="shared" si="2198" ref="AO733:AP733">AO920</f>
        <v>-168</v>
      </c>
      <c r="AP733" s="993">
        <f t="shared" si="2198"/>
        <v>-668</v>
      </c>
      <c r="AQ733" s="305">
        <f t="shared" si="2199" ref="AQ733:AV733">AQ920</f>
        <v>-164</v>
      </c>
      <c r="AR733" s="305">
        <f t="shared" si="2199"/>
        <v>-245</v>
      </c>
      <c r="AS733" s="305">
        <f t="shared" si="2199"/>
        <v>-241</v>
      </c>
      <c r="AT733" s="305">
        <f t="shared" si="2199"/>
        <v>-235</v>
      </c>
      <c r="AU733" s="989">
        <f t="shared" si="2199"/>
        <v>-885</v>
      </c>
      <c r="AV733" s="305">
        <f t="shared" si="2199"/>
        <v>-230</v>
      </c>
      <c r="AW733" s="305">
        <f t="shared" si="2200" ref="AW733:BF733">AW920</f>
        <v>-236</v>
      </c>
      <c r="AX733" s="305">
        <f t="shared" si="2200"/>
        <v>-232</v>
      </c>
      <c r="AY733" s="92">
        <f t="shared" si="2200"/>
        <v>-228</v>
      </c>
      <c r="AZ733" s="989">
        <f t="shared" si="2200"/>
        <v>-926</v>
      </c>
      <c r="BA733" s="305">
        <f t="shared" si="2200"/>
        <v>-224</v>
      </c>
      <c r="BB733" s="305">
        <f t="shared" si="2200"/>
        <v>-235</v>
      </c>
      <c r="BC733" s="305">
        <f>BC920</f>
        <v>-233</v>
      </c>
      <c r="BD733" s="92">
        <f t="shared" si="2200"/>
        <v>-233</v>
      </c>
      <c r="BE733" s="989">
        <f t="shared" si="2200"/>
        <v>-925</v>
      </c>
      <c r="BF733" s="92">
        <f t="shared" si="2200"/>
        <v>-233</v>
      </c>
      <c r="BG733" s="92">
        <f>BG920</f>
        <v>-243</v>
      </c>
      <c r="BH733" s="743">
        <f>BH920</f>
        <v>-243</v>
      </c>
      <c r="BI733" s="92">
        <f ca="1">-BI734*BI709</f>
        <v>-246.16072000000003</v>
      </c>
      <c r="BJ733" s="989">
        <f ca="1">BJ920</f>
        <v>-965.16072000000008</v>
      </c>
      <c r="BK733" s="92">
        <f ca="1">-BK734*BK709</f>
        <v>-246.16072000000003</v>
      </c>
      <c r="BL733" s="92">
        <f ca="1">-BL734*BL709</f>
        <v>-246.16072000000003</v>
      </c>
      <c r="BM733" s="92">
        <f ca="1">-BM734*BM709</f>
        <v>-246.16072000000003</v>
      </c>
      <c r="BN733" s="92">
        <f ca="1">-BN734*BN709</f>
        <v>-246.16072000000003</v>
      </c>
      <c r="BO733" s="989">
        <f ca="1">BO920</f>
        <v>-984.6428800000001</v>
      </c>
      <c r="BP733" s="989">
        <f ca="1">-BP734*BP709</f>
        <v>-984.6428800000001</v>
      </c>
      <c r="BQ733" s="989">
        <f ca="1">-BQ734*BQ709</f>
        <v>-984.6428800000001</v>
      </c>
      <c r="BR733" s="989">
        <f ca="1">-BR734*BR709</f>
        <v>-984.6428800000001</v>
      </c>
      <c r="BS733" s="305"/>
    </row>
    <row r="734" spans="1:71" s="35" customFormat="1" ht="15">
      <c r="A734" s="633" t="s">
        <v>95</v>
      </c>
      <c r="B734" s="515"/>
      <c r="C734" s="1061">
        <f>0.41+0.2*3</f>
        <v>1.01</v>
      </c>
      <c r="D734" s="1061">
        <v>0.80</v>
      </c>
      <c r="E734" s="1061">
        <f>0.2+0.21*3</f>
        <v>0.83</v>
      </c>
      <c r="F734" s="1061">
        <f>0.22*4+0.21</f>
        <v>1.0900000000000001</v>
      </c>
      <c r="G734" s="1061">
        <f>0.25*3</f>
        <v>0.75</v>
      </c>
      <c r="H734" s="946">
        <v>0.25</v>
      </c>
      <c r="I734" s="946">
        <v>0.28000000000000003</v>
      </c>
      <c r="J734" s="946">
        <v>0.28000000000000003</v>
      </c>
      <c r="K734" s="946">
        <v>0.28000000000000003</v>
      </c>
      <c r="L734" s="1062">
        <f>SUM(H734,I734,J734,K734)</f>
        <v>1.0900000000000001</v>
      </c>
      <c r="M734" s="946">
        <v>0.28000000000000003</v>
      </c>
      <c r="N734" s="946">
        <v>0.30</v>
      </c>
      <c r="O734" s="946">
        <v>0.30</v>
      </c>
      <c r="P734" s="946">
        <v>0.30</v>
      </c>
      <c r="Q734" s="1062">
        <f>SUM(M734,N734,O734,P734)</f>
        <v>1.1800000000000002</v>
      </c>
      <c r="R734" s="946">
        <v>0.30</v>
      </c>
      <c r="S734" s="946">
        <v>0.33</v>
      </c>
      <c r="T734" s="946">
        <v>0.33</v>
      </c>
      <c r="U734" s="946">
        <v>0.33</v>
      </c>
      <c r="V734" s="1062">
        <f>SUM(R734,S734,T734,U734)</f>
        <v>1.29</v>
      </c>
      <c r="W734" s="947">
        <v>0.33</v>
      </c>
      <c r="X734" s="946">
        <v>0.37</v>
      </c>
      <c r="Y734" s="946">
        <v>0.37</v>
      </c>
      <c r="Z734" s="946">
        <v>0.37</v>
      </c>
      <c r="AA734" s="1062">
        <f>SUM(W734,X734,Y734,Z734)</f>
        <v>1.44</v>
      </c>
      <c r="AB734" s="947">
        <v>0.37</v>
      </c>
      <c r="AC734" s="946">
        <v>0.46</v>
      </c>
      <c r="AD734" s="946">
        <v>0.46</v>
      </c>
      <c r="AE734" s="946">
        <v>0.46</v>
      </c>
      <c r="AF734" s="1062">
        <f>SUM(AB734,AC734,AD734,AE734)</f>
        <v>1.75</v>
      </c>
      <c r="AG734" s="947">
        <v>0.46</v>
      </c>
      <c r="AH734" s="946">
        <v>0.50</v>
      </c>
      <c r="AI734" s="946">
        <v>0.50</v>
      </c>
      <c r="AJ734" s="946">
        <v>0.50</v>
      </c>
      <c r="AK734" s="1062">
        <f>SUM(AG734,AH734,AI734,AJ734)</f>
        <v>1.96</v>
      </c>
      <c r="AL734" s="947">
        <v>0.50</v>
      </c>
      <c r="AM734" s="946">
        <v>0.54000000000000004</v>
      </c>
      <c r="AN734" s="946">
        <v>0.54000000000000004</v>
      </c>
      <c r="AO734" s="947">
        <v>0.54000000000000004</v>
      </c>
      <c r="AP734" s="1063">
        <f>SUM(AL734,AM734,AN734,AO734)</f>
        <v>2.12</v>
      </c>
      <c r="AQ734" s="947">
        <v>0.54000000000000004</v>
      </c>
      <c r="AR734" s="946">
        <v>0.81</v>
      </c>
      <c r="AS734" s="946">
        <v>0.81</v>
      </c>
      <c r="AT734" s="947">
        <v>0.81</v>
      </c>
      <c r="AU734" s="1063">
        <f>SUM(AQ734,AR734,AS734,AT734)</f>
        <v>2.97</v>
      </c>
      <c r="AV734" s="947">
        <v>0.85</v>
      </c>
      <c r="AW734" s="946">
        <v>0.85</v>
      </c>
      <c r="AX734" s="946">
        <v>0.85</v>
      </c>
      <c r="AY734" s="947">
        <v>0.85</v>
      </c>
      <c r="AZ734" s="1063">
        <f>SUM(AV734,AW734,AX734,AY734)</f>
        <v>3.40</v>
      </c>
      <c r="BA734" s="947">
        <v>0.85</v>
      </c>
      <c r="BB734" s="946">
        <v>0.89</v>
      </c>
      <c r="BC734" s="946">
        <v>0.89</v>
      </c>
      <c r="BD734" s="947">
        <v>0.89</v>
      </c>
      <c r="BE734" s="1063">
        <f>SUM(BA734,BB734,BC734,BD734)</f>
        <v>3.52</v>
      </c>
      <c r="BF734" s="947">
        <v>0.89</v>
      </c>
      <c r="BG734" s="947">
        <v>0.92</v>
      </c>
      <c r="BH734" s="948">
        <v>0.92</v>
      </c>
      <c r="BI734" s="947">
        <v>0.92</v>
      </c>
      <c r="BJ734" s="1063">
        <f>SUM(BF734,BG734,BH734,BI734)</f>
        <v>3.65</v>
      </c>
      <c r="BK734" s="947">
        <v>0.92</v>
      </c>
      <c r="BL734" s="947">
        <v>0.92</v>
      </c>
      <c r="BM734" s="947">
        <v>0.92</v>
      </c>
      <c r="BN734" s="947">
        <v>0.92</v>
      </c>
      <c r="BO734" s="1063">
        <f>SUM(BK734,BL734,BM734,BN734)</f>
        <v>3.68</v>
      </c>
      <c r="BP734" s="1064">
        <v>3.68</v>
      </c>
      <c r="BQ734" s="1064">
        <v>3.68</v>
      </c>
      <c r="BR734" s="1064">
        <v>3.68</v>
      </c>
      <c r="BS734" s="296"/>
    </row>
    <row r="735" spans="1:71" s="27" customFormat="1" ht="15">
      <c r="A735" s="516"/>
      <c r="B735" s="517"/>
      <c r="C735" s="1065"/>
      <c r="D735" s="1065"/>
      <c r="E735" s="1066"/>
      <c r="F735" s="1066"/>
      <c r="G735" s="1066"/>
      <c r="H735" s="518"/>
      <c r="I735" s="518"/>
      <c r="J735" s="518"/>
      <c r="K735" s="518"/>
      <c r="L735" s="1066"/>
      <c r="M735" s="518"/>
      <c r="N735" s="518"/>
      <c r="O735" s="518"/>
      <c r="P735" s="518"/>
      <c r="Q735" s="1066"/>
      <c r="R735" s="518"/>
      <c r="S735" s="518"/>
      <c r="T735" s="518"/>
      <c r="U735" s="518"/>
      <c r="V735" s="1066"/>
      <c r="W735" s="518"/>
      <c r="X735" s="518"/>
      <c r="Y735" s="518"/>
      <c r="Z735" s="518"/>
      <c r="AA735" s="1066"/>
      <c r="AB735" s="518"/>
      <c r="AC735" s="518"/>
      <c r="AD735" s="518"/>
      <c r="AE735" s="518"/>
      <c r="AF735" s="1066"/>
      <c r="AG735" s="518"/>
      <c r="AH735" s="518"/>
      <c r="AI735" s="518"/>
      <c r="AJ735" s="518"/>
      <c r="AK735" s="1066"/>
      <c r="AL735" s="518"/>
      <c r="AM735" s="518"/>
      <c r="AN735" s="518"/>
      <c r="AO735" s="518"/>
      <c r="AP735" s="1066"/>
      <c r="AQ735" s="518"/>
      <c r="AR735" s="518"/>
      <c r="AS735" s="518"/>
      <c r="AT735" s="518"/>
      <c r="AU735" s="1066"/>
      <c r="AV735" s="518"/>
      <c r="AW735" s="518"/>
      <c r="AX735" s="518"/>
      <c r="AY735" s="518"/>
      <c r="AZ735" s="1066"/>
      <c r="BA735" s="518"/>
      <c r="BB735" s="518"/>
      <c r="BC735" s="518"/>
      <c r="BD735" s="518"/>
      <c r="BE735" s="1066"/>
      <c r="BF735" s="518"/>
      <c r="BG735" s="518"/>
      <c r="BH735" s="767"/>
      <c r="BI735" s="518"/>
      <c r="BJ735" s="1066"/>
      <c r="BK735" s="518"/>
      <c r="BL735" s="518"/>
      <c r="BM735" s="518"/>
      <c r="BN735" s="518"/>
      <c r="BO735" s="1066"/>
      <c r="BP735" s="1066"/>
      <c r="BQ735" s="1066"/>
      <c r="BR735" s="1066"/>
      <c r="BS735" s="295"/>
    </row>
    <row r="736" spans="1:71" s="29" customFormat="1" ht="15">
      <c r="A736" s="49" t="s">
        <v>96</v>
      </c>
      <c r="B736" s="519"/>
      <c r="C736" s="1067">
        <f t="shared" si="2201" ref="C736:AH736">-C733/C694</f>
        <v>0.63466042154566749</v>
      </c>
      <c r="D736" s="1067">
        <f t="shared" si="2201"/>
        <v>0.46336206896551724</v>
      </c>
      <c r="E736" s="1068">
        <f t="shared" si="2201"/>
        <v>0.55273189326556549</v>
      </c>
      <c r="F736" s="1068">
        <f t="shared" si="2201"/>
        <v>0.23156981786643538</v>
      </c>
      <c r="G736" s="1068">
        <f t="shared" si="2201"/>
        <v>0.15554573574900574</v>
      </c>
      <c r="H736" s="53">
        <f t="shared" si="2201"/>
        <v>0.19250425894378195</v>
      </c>
      <c r="I736" s="53">
        <f t="shared" si="2201"/>
        <v>0.20358306188925082</v>
      </c>
      <c r="J736" s="53">
        <f t="shared" si="2201"/>
        <v>0.16266666666666665</v>
      </c>
      <c r="K736" s="53">
        <f t="shared" si="2201"/>
        <v>0.14716981132075471</v>
      </c>
      <c r="L736" s="1068">
        <f t="shared" si="2201"/>
        <v>0.17370721048798252</v>
      </c>
      <c r="M736" s="53">
        <f t="shared" si="2201"/>
        <v>0.18209876543209877</v>
      </c>
      <c r="N736" s="53">
        <f t="shared" si="2201"/>
        <v>0.3834355828220859</v>
      </c>
      <c r="O736" s="53">
        <f t="shared" si="2201"/>
        <v>0.19645732689210951</v>
      </c>
      <c r="P736" s="53">
        <f t="shared" si="2201"/>
        <v>0.2565217391304348</v>
      </c>
      <c r="Q736" s="1068">
        <f t="shared" si="2201"/>
        <v>0.23503649635036497</v>
      </c>
      <c r="R736" s="53">
        <f t="shared" si="2201"/>
        <v>0.52995391705069128</v>
      </c>
      <c r="S736" s="53">
        <f t="shared" si="2201"/>
        <v>0.51652892561983466</v>
      </c>
      <c r="T736" s="53">
        <f t="shared" si="2201"/>
        <v>0.25254582484725052</v>
      </c>
      <c r="U736" s="53">
        <f t="shared" si="2201"/>
        <v>0.1504315659679408</v>
      </c>
      <c r="V736" s="1068">
        <f t="shared" si="2201"/>
        <v>0.27597955706984667</v>
      </c>
      <c r="W736" s="53">
        <f t="shared" si="2201"/>
        <v>0.18318318318318319</v>
      </c>
      <c r="X736" s="53">
        <f t="shared" si="2201"/>
        <v>0.24545454545454545</v>
      </c>
      <c r="Y736" s="53">
        <f t="shared" si="2201"/>
        <v>0.21036106750392464</v>
      </c>
      <c r="Z736" s="53">
        <f t="shared" si="2201"/>
        <v>0.10983606557377049</v>
      </c>
      <c r="AA736" s="1068">
        <f t="shared" si="2201"/>
        <v>0.17084282460136674</v>
      </c>
      <c r="AB736" s="53">
        <f t="shared" si="2201"/>
        <v>0.13953488372093023</v>
      </c>
      <c r="AC736" s="53">
        <f t="shared" si="2201"/>
        <v>0.25588697017268447</v>
      </c>
      <c r="AD736" s="53">
        <f t="shared" si="2201"/>
        <v>0.19207683073229292</v>
      </c>
      <c r="AE736" s="53">
        <f t="shared" si="2201"/>
        <v>-0.50961538461538458</v>
      </c>
      <c r="AF736" s="1068">
        <f t="shared" si="2201"/>
        <v>0.29182509505703425</v>
      </c>
      <c r="AG736" s="53">
        <f t="shared" si="2201"/>
        <v>0.12529738302934179</v>
      </c>
      <c r="AH736" s="53">
        <f t="shared" si="2201"/>
        <v>0.20219244823386115</v>
      </c>
      <c r="AI736" s="53">
        <f t="shared" si="2202" ref="AI736:BE736">-AI733/AI694</f>
        <v>0.18672665916760406</v>
      </c>
      <c r="AJ736" s="53">
        <f t="shared" si="2202"/>
        <v>0.095489162272993561</v>
      </c>
      <c r="AK736" s="1068">
        <f t="shared" si="2202"/>
        <v>0.13958956819153484</v>
      </c>
      <c r="AL736" s="53">
        <f t="shared" si="2202"/>
        <v>0.30994152046783624</v>
      </c>
      <c r="AM736" s="53">
        <f t="shared" si="2202"/>
        <v>0.14052287581699346</v>
      </c>
      <c r="AN736" s="53">
        <f t="shared" si="2202"/>
        <v>0.15008880994671403</v>
      </c>
      <c r="AO736" s="242">
        <f t="shared" si="2202"/>
        <v>0.064665127020785224</v>
      </c>
      <c r="AP736" s="1069">
        <f t="shared" si="2202"/>
        <v>0.12232191906244277</v>
      </c>
      <c r="AQ736" s="53">
        <f t="shared" si="2202"/>
        <v>-0.11647727272727272</v>
      </c>
      <c r="AR736" s="53">
        <f t="shared" si="2202"/>
        <v>0.15360501567398119</v>
      </c>
      <c r="AS736" s="53">
        <f t="shared" si="2202"/>
        <v>0.47440944881889763</v>
      </c>
      <c r="AT736" s="242">
        <f t="shared" si="2202"/>
        <v>0.29746835443037972</v>
      </c>
      <c r="AU736" s="1069">
        <f t="shared" si="2202"/>
        <v>0.59595959595959591</v>
      </c>
      <c r="AV736" s="53">
        <f t="shared" si="2202"/>
        <v>0.36277602523659308</v>
      </c>
      <c r="AW736" s="53">
        <f t="shared" si="2202"/>
        <v>-0.22692307692307692</v>
      </c>
      <c r="AX736" s="53">
        <f>-AX733/AX694</f>
        <v>-0.33868613138686132</v>
      </c>
      <c r="AY736" s="242">
        <f t="shared" si="2202"/>
        <v>-0.75247524752475248</v>
      </c>
      <c r="AZ736" s="1069">
        <f t="shared" si="2202"/>
        <v>-0.66427546628407463</v>
      </c>
      <c r="BA736" s="53">
        <f>-BA733/BA694</f>
        <v>-0.64739884393063585</v>
      </c>
      <c r="BB736" s="53">
        <f>-BB733/BB694</f>
        <v>-0.16918646508279336</v>
      </c>
      <c r="BC736" s="53">
        <f>-BC733/BC694</f>
        <v>-5.6829268292682924</v>
      </c>
      <c r="BD736" s="242">
        <f t="shared" si="2202"/>
        <v>0.15958904109589042</v>
      </c>
      <c r="BE736" s="1069">
        <f t="shared" si="2202"/>
        <v>-2.9272151898734178</v>
      </c>
      <c r="BF736" s="242">
        <f t="shared" si="2203" ref="BF736:BR736">-BF733/BF694</f>
        <v>0.19596299411269974</v>
      </c>
      <c r="BG736" s="242">
        <f t="shared" si="2203"/>
        <v>0.80730897009966773</v>
      </c>
      <c r="BH736" s="809">
        <f>-BH733/BH694</f>
        <v>0.20930232558139536</v>
      </c>
      <c r="BI736" s="242">
        <f t="shared" ca="1" si="2203"/>
        <v>0.18405872797298836</v>
      </c>
      <c r="BJ736" s="1069">
        <f t="shared" ca="1" si="2203"/>
        <v>0.24199176640076941</v>
      </c>
      <c r="BK736" s="242">
        <f t="shared" ca="1" si="2203"/>
        <v>0.16892669439076927</v>
      </c>
      <c r="BL736" s="242">
        <f t="shared" ca="1" si="2203"/>
        <v>0.28382887496824544</v>
      </c>
      <c r="BM736" s="242">
        <f t="shared" ca="1" si="2203"/>
        <v>0.20198380344374245</v>
      </c>
      <c r="BN736" s="242">
        <f t="shared" ca="1" si="2203"/>
        <v>0.1466636633739081</v>
      </c>
      <c r="BO736" s="1069">
        <f t="shared" ca="1" si="2203"/>
        <v>0.18857081111598936</v>
      </c>
      <c r="BP736" s="1069">
        <f t="shared" ca="1" si="2203"/>
        <v>0.17616144556061353</v>
      </c>
      <c r="BQ736" s="1069">
        <f t="shared" ca="1" si="2203"/>
        <v>0.17200109512528924</v>
      </c>
      <c r="BR736" s="1069">
        <f t="shared" ca="1" si="2203"/>
        <v>0.1674434072997916</v>
      </c>
      <c r="BS736" s="649"/>
    </row>
    <row r="737" spans="1:71" s="22" customFormat="1" ht="15">
      <c r="A737" s="819"/>
      <c r="B737" s="508"/>
      <c r="C737" s="1010"/>
      <c r="D737" s="1010"/>
      <c r="E737" s="1010"/>
      <c r="F737" s="1010"/>
      <c r="G737" s="1010"/>
      <c r="H737" s="840"/>
      <c r="I737" s="840"/>
      <c r="J737" s="840"/>
      <c r="K737" s="840"/>
      <c r="L737" s="1010"/>
      <c r="M737" s="840"/>
      <c r="N737" s="840"/>
      <c r="O737" s="840"/>
      <c r="P737" s="840"/>
      <c r="Q737" s="1010"/>
      <c r="R737" s="840"/>
      <c r="S737" s="840"/>
      <c r="T737" s="840"/>
      <c r="U737" s="840"/>
      <c r="V737" s="1010"/>
      <c r="W737" s="840"/>
      <c r="X737" s="840"/>
      <c r="Y737" s="840"/>
      <c r="Z737" s="840"/>
      <c r="AA737" s="1010"/>
      <c r="AB737" s="840"/>
      <c r="AC737" s="840"/>
      <c r="AD737" s="840"/>
      <c r="AE737" s="840"/>
      <c r="AF737" s="1010"/>
      <c r="AG737" s="840"/>
      <c r="AH737" s="840"/>
      <c r="AI737" s="840"/>
      <c r="AJ737" s="840"/>
      <c r="AK737" s="1010"/>
      <c r="AL737" s="840"/>
      <c r="AM737" s="840"/>
      <c r="AN737" s="840"/>
      <c r="AO737" s="840"/>
      <c r="AP737" s="1010"/>
      <c r="AQ737" s="840"/>
      <c r="AR737" s="840"/>
      <c r="AS737" s="840"/>
      <c r="AT737" s="840"/>
      <c r="AU737" s="1010"/>
      <c r="AV737" s="840"/>
      <c r="AW737" s="840"/>
      <c r="AX737" s="840"/>
      <c r="AY737" s="840"/>
      <c r="AZ737" s="1010"/>
      <c r="BA737" s="840"/>
      <c r="BB737" s="840"/>
      <c r="BC737" s="840"/>
      <c r="BD737" s="840"/>
      <c r="BE737" s="1010"/>
      <c r="BF737" s="840"/>
      <c r="BG737" s="840"/>
      <c r="BH737" s="841"/>
      <c r="BI737" s="840"/>
      <c r="BJ737" s="1010"/>
      <c r="BK737" s="840"/>
      <c r="BL737" s="840"/>
      <c r="BM737" s="840"/>
      <c r="BN737" s="840"/>
      <c r="BO737" s="1010"/>
      <c r="BP737" s="1010"/>
      <c r="BQ737" s="1010"/>
      <c r="BR737" s="1010"/>
      <c r="BS737" s="822"/>
    </row>
    <row r="738" spans="1:71" s="17" customFormat="1" ht="15">
      <c r="A738" s="818" t="s">
        <v>97</v>
      </c>
      <c r="B738" s="818"/>
      <c r="C738" s="837"/>
      <c r="D738" s="837"/>
      <c r="E738" s="837"/>
      <c r="F738" s="837"/>
      <c r="G738" s="837"/>
      <c r="H738" s="837"/>
      <c r="I738" s="837"/>
      <c r="J738" s="837"/>
      <c r="K738" s="837"/>
      <c r="L738" s="837"/>
      <c r="M738" s="837"/>
      <c r="N738" s="837"/>
      <c r="O738" s="837"/>
      <c r="P738" s="837"/>
      <c r="Q738" s="837"/>
      <c r="R738" s="837"/>
      <c r="S738" s="837"/>
      <c r="T738" s="837"/>
      <c r="U738" s="837"/>
      <c r="V738" s="837"/>
      <c r="W738" s="837"/>
      <c r="X738" s="837"/>
      <c r="Y738" s="837"/>
      <c r="Z738" s="837"/>
      <c r="AA738" s="837"/>
      <c r="AB738" s="837"/>
      <c r="AC738" s="837"/>
      <c r="AD738" s="837"/>
      <c r="AE738" s="837"/>
      <c r="AF738" s="837"/>
      <c r="AG738" s="837"/>
      <c r="AH738" s="837"/>
      <c r="AI738" s="837"/>
      <c r="AJ738" s="837"/>
      <c r="AK738" s="837"/>
      <c r="AL738" s="837"/>
      <c r="AM738" s="837"/>
      <c r="AN738" s="837"/>
      <c r="AO738" s="837"/>
      <c r="AP738" s="837"/>
      <c r="AQ738" s="837"/>
      <c r="AR738" s="837"/>
      <c r="AS738" s="837"/>
      <c r="AT738" s="837"/>
      <c r="AU738" s="837"/>
      <c r="AV738" s="837"/>
      <c r="AW738" s="837"/>
      <c r="AX738" s="837"/>
      <c r="AY738" s="837"/>
      <c r="AZ738" s="837"/>
      <c r="BA738" s="837"/>
      <c r="BB738" s="837"/>
      <c r="BC738" s="837"/>
      <c r="BD738" s="837"/>
      <c r="BE738" s="837"/>
      <c r="BF738" s="837"/>
      <c r="BG738" s="837"/>
      <c r="BH738" s="838"/>
      <c r="BI738" s="837"/>
      <c r="BJ738" s="837"/>
      <c r="BK738" s="837"/>
      <c r="BL738" s="837"/>
      <c r="BM738" s="837"/>
      <c r="BN738" s="837"/>
      <c r="BO738" s="837"/>
      <c r="BP738" s="837"/>
      <c r="BQ738" s="837"/>
      <c r="BR738" s="837"/>
      <c r="BS738" s="457"/>
    </row>
    <row r="739" spans="1:71" s="300" customFormat="1" ht="15">
      <c r="A739" s="304" t="s">
        <v>98</v>
      </c>
      <c r="B739" s="166"/>
      <c r="C739" s="993">
        <f t="shared" si="2204" ref="C739:AP739">INDEX(MO_UPR_NUPR,0,COLUMN())</f>
        <v>9822</v>
      </c>
      <c r="D739" s="993">
        <f t="shared" si="2204"/>
        <v>9800</v>
      </c>
      <c r="E739" s="993">
        <f t="shared" si="2204"/>
        <v>10057</v>
      </c>
      <c r="F739" s="993">
        <f t="shared" si="2204"/>
        <v>10375</v>
      </c>
      <c r="G739" s="993">
        <f t="shared" si="2204"/>
        <v>10932</v>
      </c>
      <c r="H739" s="305">
        <f t="shared" si="2204"/>
        <v>10821</v>
      </c>
      <c r="I739" s="305">
        <f t="shared" si="2204"/>
        <v>11217</v>
      </c>
      <c r="J739" s="305">
        <f t="shared" si="2204"/>
        <v>11728</v>
      </c>
      <c r="K739" s="305">
        <f t="shared" si="2204"/>
        <v>11655</v>
      </c>
      <c r="L739" s="993">
        <f t="shared" si="2204"/>
        <v>11655</v>
      </c>
      <c r="M739" s="305">
        <f t="shared" si="2204"/>
        <v>11489</v>
      </c>
      <c r="N739" s="305">
        <f t="shared" si="2204"/>
        <v>11858</v>
      </c>
      <c r="O739" s="305">
        <f t="shared" si="2204"/>
        <v>12343</v>
      </c>
      <c r="P739" s="305">
        <f t="shared" si="2204"/>
        <v>12202</v>
      </c>
      <c r="Q739" s="993">
        <f t="shared" si="2204"/>
        <v>12202</v>
      </c>
      <c r="R739" s="305">
        <f t="shared" si="2204"/>
        <v>12036</v>
      </c>
      <c r="S739" s="122">
        <f t="shared" si="2204"/>
        <v>12300</v>
      </c>
      <c r="T739" s="122">
        <f t="shared" si="2204"/>
        <v>12772</v>
      </c>
      <c r="U739" s="305">
        <f t="shared" si="2204"/>
        <v>12583</v>
      </c>
      <c r="V739" s="993">
        <f t="shared" si="2204"/>
        <v>12583</v>
      </c>
      <c r="W739" s="122">
        <f t="shared" si="2204"/>
        <v>12705</v>
      </c>
      <c r="X739" s="122">
        <f t="shared" si="2204"/>
        <v>13024</v>
      </c>
      <c r="Y739" s="122">
        <f t="shared" si="2204"/>
        <v>13535</v>
      </c>
      <c r="Z739" s="305">
        <f t="shared" si="2204"/>
        <v>13473</v>
      </c>
      <c r="AA739" s="993">
        <f t="shared" si="2204"/>
        <v>13473</v>
      </c>
      <c r="AB739" s="122">
        <f t="shared" si="2204"/>
        <v>13448</v>
      </c>
      <c r="AC739" s="122">
        <f t="shared" si="2204"/>
        <v>13824</v>
      </c>
      <c r="AD739" s="122">
        <f t="shared" si="2204"/>
        <v>14408</v>
      </c>
      <c r="AE739" s="305">
        <f t="shared" si="2204"/>
        <v>14510</v>
      </c>
      <c r="AF739" s="993">
        <f t="shared" si="2204"/>
        <v>14510</v>
      </c>
      <c r="AG739" s="122">
        <f t="shared" si="2204"/>
        <v>14323</v>
      </c>
      <c r="AH739" s="122">
        <f t="shared" si="2204"/>
        <v>14752</v>
      </c>
      <c r="AI739" s="122">
        <f t="shared" si="2204"/>
        <v>15343</v>
      </c>
      <c r="AJ739" s="305">
        <f t="shared" si="2204"/>
        <v>15343</v>
      </c>
      <c r="AK739" s="993">
        <f t="shared" si="2204"/>
        <v>15343</v>
      </c>
      <c r="AL739" s="122">
        <f>INDEX(MO_UPR_NUPR,0,COLUMN())</f>
        <v>14999</v>
      </c>
      <c r="AM739" s="122">
        <f>INDEX(MO_UPR_NUPR,0,COLUMN())</f>
        <v>15448</v>
      </c>
      <c r="AN739" s="122">
        <f>INDEX(MO_UPR_NUPR,0,COLUMN())</f>
        <v>16029</v>
      </c>
      <c r="AO739" s="305">
        <f t="shared" si="2204"/>
        <v>15949</v>
      </c>
      <c r="AP739" s="993">
        <f t="shared" si="2204"/>
        <v>15949</v>
      </c>
      <c r="AQ739" s="122">
        <f t="shared" si="2205" ref="AQ739:AV739">INDEX(MO_UPR_NUPR,0,COLUMN())</f>
        <v>18177</v>
      </c>
      <c r="AR739" s="122">
        <f t="shared" si="2205"/>
        <v>18756</v>
      </c>
      <c r="AS739" s="122">
        <f t="shared" si="2205"/>
        <v>19627</v>
      </c>
      <c r="AT739" s="305">
        <f t="shared" si="2205"/>
        <v>19844</v>
      </c>
      <c r="AU739" s="993">
        <f t="shared" si="2205"/>
        <v>19844</v>
      </c>
      <c r="AV739" s="122">
        <f t="shared" si="2205"/>
        <v>20248</v>
      </c>
      <c r="AW739" s="122">
        <f t="shared" si="2206" ref="AW739:BJ739">INDEX(MO_UPR_NUPR,0,COLUMN())</f>
        <v>21026</v>
      </c>
      <c r="AX739" s="122">
        <f t="shared" si="2206"/>
        <v>22026</v>
      </c>
      <c r="AY739" s="305">
        <f t="shared" si="2206"/>
        <v>22311</v>
      </c>
      <c r="AZ739" s="993">
        <f t="shared" si="2206"/>
        <v>22311</v>
      </c>
      <c r="BA739" s="122">
        <f t="shared" si="2207" ref="BA739:BI739">INDEX(MO_UPR_NUPR,0,COLUMN())</f>
        <v>22499</v>
      </c>
      <c r="BB739" s="122">
        <f t="shared" si="2207"/>
        <v>23355</v>
      </c>
      <c r="BC739" s="122">
        <f t="shared" si="2207"/>
        <v>24518</v>
      </c>
      <c r="BD739" s="305">
        <f t="shared" si="2207"/>
        <v>24709</v>
      </c>
      <c r="BE739" s="993">
        <f t="shared" si="2207"/>
        <v>24709</v>
      </c>
      <c r="BF739" s="122">
        <f>INDEX(MO_UPR_NUPR,0,COLUMN())</f>
        <v>24945</v>
      </c>
      <c r="BG739" s="122">
        <f>INDEX(MO_UPR_NUPR,0,COLUMN())</f>
        <v>25929</v>
      </c>
      <c r="BH739" s="768">
        <f>INDEX(MO_UPR_NUPR,0,COLUMN())</f>
        <v>27059</v>
      </c>
      <c r="BI739" s="123">
        <f t="shared" si="2207"/>
        <v>25826.867000000002</v>
      </c>
      <c r="BJ739" s="980">
        <f t="shared" si="2206"/>
        <v>25826.867000000002</v>
      </c>
      <c r="BK739" s="123">
        <f t="shared" si="2208" ref="BK739:BR739">INDEX(MO_UPR_NUPR,0,COLUMN())</f>
        <v>26009.805</v>
      </c>
      <c r="BL739" s="123">
        <f t="shared" si="2208"/>
        <v>26216.069</v>
      </c>
      <c r="BM739" s="123">
        <f t="shared" si="2208"/>
        <v>26428.371999999999</v>
      </c>
      <c r="BN739" s="123">
        <f t="shared" si="2208"/>
        <v>25116.949670000002</v>
      </c>
      <c r="BO739" s="980">
        <f t="shared" si="2208"/>
        <v>25116.949670000002</v>
      </c>
      <c r="BP739" s="980">
        <f t="shared" si="2208"/>
        <v>25734.117808899999</v>
      </c>
      <c r="BQ739" s="980">
        <f t="shared" si="2208"/>
        <v>26555.416184577</v>
      </c>
      <c r="BR739" s="980">
        <f t="shared" si="2208"/>
        <v>27401.053511524311</v>
      </c>
      <c r="BS739" s="305"/>
    </row>
    <row r="740" spans="1:71" s="300" customFormat="1" ht="15">
      <c r="A740" s="110" t="s">
        <v>99</v>
      </c>
      <c r="B740" s="395"/>
      <c r="C740" s="998">
        <f t="shared" si="2209" ref="C740:AP740">INDEX(MO_LR_NLR,0,COLUMN())</f>
        <v>25722</v>
      </c>
      <c r="D740" s="998">
        <f t="shared" si="2209"/>
        <v>26366</v>
      </c>
      <c r="E740" s="998">
        <f t="shared" si="2209"/>
        <v>27530</v>
      </c>
      <c r="F740" s="998">
        <f t="shared" si="2209"/>
        <v>27416</v>
      </c>
      <c r="G740" s="998">
        <f t="shared" si="2209"/>
        <v>26622</v>
      </c>
      <c r="H740" s="58">
        <f t="shared" si="2209"/>
        <v>26908</v>
      </c>
      <c r="I740" s="58">
        <f t="shared" si="2209"/>
        <v>27505</v>
      </c>
      <c r="J740" s="58">
        <f t="shared" si="2209"/>
        <v>27277</v>
      </c>
      <c r="K740" s="58">
        <f t="shared" si="2209"/>
        <v>26813</v>
      </c>
      <c r="L740" s="998">
        <f t="shared" si="2209"/>
        <v>26813</v>
      </c>
      <c r="M740" s="58">
        <f t="shared" si="2209"/>
        <v>27013</v>
      </c>
      <c r="N740" s="58">
        <f t="shared" si="2209"/>
        <v>27409</v>
      </c>
      <c r="O740" s="58">
        <f t="shared" si="2209"/>
        <v>27518</v>
      </c>
      <c r="P740" s="58">
        <f t="shared" si="2209"/>
        <v>27598</v>
      </c>
      <c r="Q740" s="998">
        <f t="shared" si="2209"/>
        <v>27598</v>
      </c>
      <c r="R740" s="58">
        <f t="shared" si="2209"/>
        <v>28256</v>
      </c>
      <c r="S740" s="125">
        <f t="shared" si="2209"/>
        <v>28469</v>
      </c>
      <c r="T740" s="125">
        <f t="shared" si="2209"/>
        <v>28756</v>
      </c>
      <c r="U740" s="58">
        <f t="shared" si="2209"/>
        <v>28744</v>
      </c>
      <c r="V740" s="998">
        <f t="shared" si="2209"/>
        <v>28744</v>
      </c>
      <c r="W740" s="125">
        <f t="shared" si="2209"/>
        <v>29128</v>
      </c>
      <c r="X740" s="125">
        <f t="shared" si="2209"/>
        <v>29396</v>
      </c>
      <c r="Y740" s="125">
        <f t="shared" si="2209"/>
        <v>29633</v>
      </c>
      <c r="Z740" s="58">
        <f t="shared" si="2209"/>
        <v>29953</v>
      </c>
      <c r="AA740" s="998">
        <f t="shared" si="2209"/>
        <v>29953</v>
      </c>
      <c r="AB740" s="125">
        <f t="shared" si="2209"/>
        <v>29532</v>
      </c>
      <c r="AC740" s="125">
        <f t="shared" si="2209"/>
        <v>29926</v>
      </c>
      <c r="AD740" s="125">
        <f t="shared" si="2209"/>
        <v>30159</v>
      </c>
      <c r="AE740" s="58">
        <f t="shared" si="2209"/>
        <v>30066</v>
      </c>
      <c r="AF740" s="998">
        <f t="shared" si="2209"/>
        <v>30066</v>
      </c>
      <c r="AG740" s="125">
        <f t="shared" si="2209"/>
        <v>30370</v>
      </c>
      <c r="AH740" s="125">
        <f t="shared" si="2209"/>
        <v>31150</v>
      </c>
      <c r="AI740" s="125">
        <f t="shared" si="2209"/>
        <v>31091</v>
      </c>
      <c r="AJ740" s="58">
        <f t="shared" si="2209"/>
        <v>30801</v>
      </c>
      <c r="AK740" s="998">
        <f t="shared" si="2209"/>
        <v>30801</v>
      </c>
      <c r="AL740" s="125">
        <f>INDEX(MO_LR_NLR,0,COLUMN())</f>
        <v>30178</v>
      </c>
      <c r="AM740" s="125">
        <f>INDEX(MO_LR_NLR,0,COLUMN())</f>
        <v>30607</v>
      </c>
      <c r="AN740" s="125">
        <f>INDEX(MO_LR_NLR,0,COLUMN())</f>
        <v>31649</v>
      </c>
      <c r="AO740" s="58">
        <f t="shared" si="2209"/>
        <v>31158</v>
      </c>
      <c r="AP740" s="998">
        <f t="shared" si="2209"/>
        <v>31158</v>
      </c>
      <c r="AQ740" s="125">
        <f t="shared" si="2210" ref="AQ740:AV740">INDEX(MO_LR_NLR,0,COLUMN())</f>
        <v>22988</v>
      </c>
      <c r="AR740" s="125">
        <f t="shared" si="2210"/>
        <v>23379</v>
      </c>
      <c r="AS740" s="125">
        <f t="shared" si="2210"/>
        <v>24107</v>
      </c>
      <c r="AT740" s="58">
        <f t="shared" si="2210"/>
        <v>24309</v>
      </c>
      <c r="AU740" s="998">
        <f t="shared" si="2210"/>
        <v>24309</v>
      </c>
      <c r="AV740" s="125">
        <f t="shared" si="2210"/>
        <v>24574</v>
      </c>
      <c r="AW740" s="125">
        <f t="shared" si="2211" ref="AW740:BJ740">INDEX(MO_LR_NLR,0,COLUMN())</f>
        <v>26195</v>
      </c>
      <c r="AX740" s="125">
        <f t="shared" si="2211"/>
        <v>27844</v>
      </c>
      <c r="AY740" s="58">
        <f t="shared" si="2211"/>
        <v>29208</v>
      </c>
      <c r="AZ740" s="998">
        <f t="shared" si="2211"/>
        <v>29208</v>
      </c>
      <c r="BA740" s="125">
        <f t="shared" si="2212" ref="BA740:BI740">INDEX(MO_LR_NLR,0,COLUMN())</f>
        <v>30454</v>
      </c>
      <c r="BB740" s="125">
        <f t="shared" si="2212"/>
        <v>32719</v>
      </c>
      <c r="BC740" s="125">
        <f t="shared" si="2212"/>
        <v>32885</v>
      </c>
      <c r="BD740" s="58">
        <f t="shared" si="2212"/>
        <v>32396</v>
      </c>
      <c r="BE740" s="998">
        <f t="shared" si="2212"/>
        <v>32396</v>
      </c>
      <c r="BF740" s="125">
        <f>INDEX(MO_LR_NLR,0,COLUMN())</f>
        <v>32742</v>
      </c>
      <c r="BG740" s="125">
        <f>INDEX(MO_LR_NLR,0,COLUMN())</f>
        <v>34167</v>
      </c>
      <c r="BH740" s="769">
        <f>INDEX(MO_LR_NLR,0,COLUMN())</f>
        <v>34004</v>
      </c>
      <c r="BI740" s="126">
        <f t="shared" si="2212"/>
        <v>34468.493165</v>
      </c>
      <c r="BJ740" s="983">
        <f t="shared" si="2211"/>
        <v>34468.493165</v>
      </c>
      <c r="BK740" s="126">
        <f t="shared" si="2213" ref="BK740:BR740">INDEX(MO_LR_NLR,0,COLUMN())</f>
        <v>34954.064438000001</v>
      </c>
      <c r="BL740" s="126">
        <f t="shared" si="2213"/>
        <v>35520.753239999998</v>
      </c>
      <c r="BM740" s="126">
        <f t="shared" si="2213"/>
        <v>36082.678187999998</v>
      </c>
      <c r="BN740" s="126">
        <f t="shared" si="2213"/>
        <v>36574.462340999999</v>
      </c>
      <c r="BO740" s="983">
        <f t="shared" si="2213"/>
        <v>36574.462340999999</v>
      </c>
      <c r="BP740" s="983">
        <f t="shared" si="2213"/>
        <v>38652.459969999996</v>
      </c>
      <c r="BQ740" s="983">
        <f t="shared" si="2213"/>
        <v>40786.370596999994</v>
      </c>
      <c r="BR740" s="983">
        <f t="shared" si="2213"/>
        <v>42983.982492999996</v>
      </c>
      <c r="BS740" s="305"/>
    </row>
    <row r="741" spans="1:71" s="51" customFormat="1" ht="15">
      <c r="A741" s="109" t="s">
        <v>100</v>
      </c>
      <c r="B741" s="483"/>
      <c r="C741" s="999">
        <f t="shared" si="2214" ref="C741:AP741">ROUND(INDEX(MO_BSS_NUPR,0,COLUMN())+INDEX(MO_BSS_NLR,0,COLUMN()),6)</f>
        <v>35544</v>
      </c>
      <c r="D741" s="999">
        <f t="shared" si="2214"/>
        <v>36166</v>
      </c>
      <c r="E741" s="999">
        <f t="shared" si="2214"/>
        <v>37587</v>
      </c>
      <c r="F741" s="999">
        <f t="shared" si="2214"/>
        <v>37791</v>
      </c>
      <c r="G741" s="999">
        <f t="shared" si="2214"/>
        <v>37554</v>
      </c>
      <c r="H741" s="57">
        <f t="shared" si="2214"/>
        <v>37729</v>
      </c>
      <c r="I741" s="57">
        <f t="shared" si="2214"/>
        <v>38722</v>
      </c>
      <c r="J741" s="57">
        <f t="shared" si="2214"/>
        <v>39005</v>
      </c>
      <c r="K741" s="57">
        <f t="shared" si="2214"/>
        <v>38468</v>
      </c>
      <c r="L741" s="999">
        <f t="shared" si="2214"/>
        <v>38468</v>
      </c>
      <c r="M741" s="57">
        <f t="shared" si="2214"/>
        <v>38502</v>
      </c>
      <c r="N741" s="57">
        <f t="shared" si="2214"/>
        <v>39267</v>
      </c>
      <c r="O741" s="57">
        <f t="shared" si="2214"/>
        <v>39861</v>
      </c>
      <c r="P741" s="57">
        <f t="shared" si="2214"/>
        <v>39800</v>
      </c>
      <c r="Q741" s="999">
        <f t="shared" si="2214"/>
        <v>39800</v>
      </c>
      <c r="R741" s="57">
        <f t="shared" si="2214"/>
        <v>40292</v>
      </c>
      <c r="S741" s="134">
        <f t="shared" si="2214"/>
        <v>40769</v>
      </c>
      <c r="T741" s="134">
        <f t="shared" si="2214"/>
        <v>41528</v>
      </c>
      <c r="U741" s="57">
        <f t="shared" si="2214"/>
        <v>41327</v>
      </c>
      <c r="V741" s="999">
        <f t="shared" si="2214"/>
        <v>41327</v>
      </c>
      <c r="W741" s="134">
        <f t="shared" si="2214"/>
        <v>41833</v>
      </c>
      <c r="X741" s="134">
        <f t="shared" si="2214"/>
        <v>42420</v>
      </c>
      <c r="Y741" s="134">
        <f t="shared" si="2214"/>
        <v>43168</v>
      </c>
      <c r="Z741" s="57">
        <f t="shared" si="2214"/>
        <v>43426</v>
      </c>
      <c r="AA741" s="999">
        <f t="shared" si="2214"/>
        <v>43426</v>
      </c>
      <c r="AB741" s="134">
        <f t="shared" si="2214"/>
        <v>42980</v>
      </c>
      <c r="AC741" s="134">
        <f t="shared" si="2214"/>
        <v>43750</v>
      </c>
      <c r="AD741" s="134">
        <f t="shared" si="2214"/>
        <v>44567</v>
      </c>
      <c r="AE741" s="57">
        <f t="shared" si="2214"/>
        <v>44576</v>
      </c>
      <c r="AF741" s="999">
        <f t="shared" si="2214"/>
        <v>44576</v>
      </c>
      <c r="AG741" s="134">
        <f t="shared" si="2214"/>
        <v>44693</v>
      </c>
      <c r="AH741" s="134">
        <f t="shared" si="2214"/>
        <v>45902</v>
      </c>
      <c r="AI741" s="134">
        <f t="shared" si="2214"/>
        <v>46434</v>
      </c>
      <c r="AJ741" s="57">
        <f t="shared" si="2214"/>
        <v>46144</v>
      </c>
      <c r="AK741" s="999">
        <f t="shared" si="2214"/>
        <v>46144</v>
      </c>
      <c r="AL741" s="134">
        <f>ROUND(INDEX(MO_BSS_NUPR,0,COLUMN())+INDEX(MO_BSS_NLR,0,COLUMN()),6)</f>
        <v>45177</v>
      </c>
      <c r="AM741" s="134">
        <f>ROUND(INDEX(MO_BSS_NUPR,0,COLUMN())+INDEX(MO_BSS_NLR,0,COLUMN()),6)</f>
        <v>46055</v>
      </c>
      <c r="AN741" s="134">
        <f>ROUND(INDEX(MO_BSS_NUPR,0,COLUMN())+INDEX(MO_BSS_NLR,0,COLUMN()),6)</f>
        <v>47678</v>
      </c>
      <c r="AO741" s="57">
        <f t="shared" si="2214"/>
        <v>47107</v>
      </c>
      <c r="AP741" s="999">
        <f t="shared" si="2214"/>
        <v>47107</v>
      </c>
      <c r="AQ741" s="134">
        <f t="shared" si="2215" ref="AQ741:AV741">ROUND(INDEX(MO_BSS_NUPR,0,COLUMN())+INDEX(MO_BSS_NLR,0,COLUMN()),6)</f>
        <v>41165</v>
      </c>
      <c r="AR741" s="134">
        <f t="shared" si="2215"/>
        <v>42135</v>
      </c>
      <c r="AS741" s="134">
        <f t="shared" si="2215"/>
        <v>43734</v>
      </c>
      <c r="AT741" s="57">
        <f t="shared" si="2215"/>
        <v>44153</v>
      </c>
      <c r="AU741" s="999">
        <f t="shared" si="2215"/>
        <v>44153</v>
      </c>
      <c r="AV741" s="134">
        <f t="shared" si="2215"/>
        <v>44822</v>
      </c>
      <c r="AW741" s="134">
        <f t="shared" si="2216" ref="AW741:BJ741">ROUND(INDEX(MO_BSS_NUPR,0,COLUMN())+INDEX(MO_BSS_NLR,0,COLUMN()),6)</f>
        <v>47221</v>
      </c>
      <c r="AX741" s="134">
        <f t="shared" si="2216"/>
        <v>49870</v>
      </c>
      <c r="AY741" s="57">
        <f t="shared" si="2216"/>
        <v>51519</v>
      </c>
      <c r="AZ741" s="999">
        <f t="shared" si="2216"/>
        <v>51519</v>
      </c>
      <c r="BA741" s="134">
        <f t="shared" si="2217" ref="BA741:BI741">ROUND(INDEX(MO_BSS_NUPR,0,COLUMN())+INDEX(MO_BSS_NLR,0,COLUMN()),6)</f>
        <v>52953</v>
      </c>
      <c r="BB741" s="134">
        <f t="shared" si="2217"/>
        <v>56074</v>
      </c>
      <c r="BC741" s="134">
        <f t="shared" si="2217"/>
        <v>57403</v>
      </c>
      <c r="BD741" s="57">
        <f t="shared" si="2217"/>
        <v>57105</v>
      </c>
      <c r="BE741" s="999">
        <f t="shared" si="2217"/>
        <v>57105</v>
      </c>
      <c r="BF741" s="134">
        <f>ROUND(INDEX(MO_BSS_NUPR,0,COLUMN())+INDEX(MO_BSS_NLR,0,COLUMN()),6)</f>
        <v>57687</v>
      </c>
      <c r="BG741" s="134">
        <f>ROUND(INDEX(MO_BSS_NUPR,0,COLUMN())+INDEX(MO_BSS_NLR,0,COLUMN()),6)</f>
        <v>60096</v>
      </c>
      <c r="BH741" s="770">
        <f>ROUND(INDEX(MO_BSS_NUPR,0,COLUMN())+INDEX(MO_BSS_NLR,0,COLUMN()),6)</f>
        <v>61063</v>
      </c>
      <c r="BI741" s="135">
        <f t="shared" si="2217"/>
        <v>60295.360164999998</v>
      </c>
      <c r="BJ741" s="986">
        <f t="shared" si="2216"/>
        <v>60295.360164999998</v>
      </c>
      <c r="BK741" s="135">
        <f t="shared" si="2218" ref="BK741:BR741">ROUND(INDEX(MO_BSS_NUPR,0,COLUMN())+INDEX(MO_BSS_NLR,0,COLUMN()),6)</f>
        <v>60963.869438000002</v>
      </c>
      <c r="BL741" s="135">
        <f t="shared" si="2218"/>
        <v>61736.822240000001</v>
      </c>
      <c r="BM741" s="135">
        <f t="shared" si="2218"/>
        <v>62511.050188000001</v>
      </c>
      <c r="BN741" s="135">
        <f t="shared" si="2218"/>
        <v>61691.412011</v>
      </c>
      <c r="BO741" s="986">
        <f t="shared" si="2218"/>
        <v>61691.412011</v>
      </c>
      <c r="BP741" s="986">
        <f t="shared" si="2218"/>
        <v>64386.577778999999</v>
      </c>
      <c r="BQ741" s="986">
        <f t="shared" si="2218"/>
        <v>67341.786781999996</v>
      </c>
      <c r="BR741" s="986">
        <f t="shared" si="2218"/>
        <v>70385.036005000002</v>
      </c>
      <c r="BS741" s="57"/>
    </row>
    <row r="742" spans="1:71" s="29" customFormat="1" ht="15">
      <c r="A742" s="519"/>
      <c r="B742" s="519"/>
      <c r="C742" s="1025"/>
      <c r="D742" s="1025"/>
      <c r="E742" s="1025"/>
      <c r="F742" s="1025"/>
      <c r="G742" s="1025"/>
      <c r="H742" s="650"/>
      <c r="I742" s="650"/>
      <c r="J742" s="650"/>
      <c r="K742" s="650"/>
      <c r="L742" s="1025"/>
      <c r="M742" s="650"/>
      <c r="N742" s="650"/>
      <c r="O742" s="650"/>
      <c r="P742" s="650"/>
      <c r="Q742" s="1025"/>
      <c r="R742" s="650"/>
      <c r="S742" s="79"/>
      <c r="T742" s="79"/>
      <c r="U742" s="650"/>
      <c r="V742" s="1025"/>
      <c r="W742" s="79"/>
      <c r="X742" s="79"/>
      <c r="Y742" s="79"/>
      <c r="Z742" s="650"/>
      <c r="AA742" s="1025"/>
      <c r="AB742" s="79"/>
      <c r="AC742" s="79"/>
      <c r="AD742" s="79"/>
      <c r="AE742" s="650"/>
      <c r="AF742" s="1025"/>
      <c r="AG742" s="79"/>
      <c r="AH742" s="79"/>
      <c r="AI742" s="79"/>
      <c r="AJ742" s="650"/>
      <c r="AK742" s="1025"/>
      <c r="AL742" s="79"/>
      <c r="AM742" s="79"/>
      <c r="AN742" s="79"/>
      <c r="AO742" s="650"/>
      <c r="AP742" s="1025"/>
      <c r="AQ742" s="79"/>
      <c r="AR742" s="79"/>
      <c r="AS742" s="79"/>
      <c r="AT742" s="650"/>
      <c r="AU742" s="1025"/>
      <c r="AV742" s="79"/>
      <c r="AW742" s="79"/>
      <c r="AX742" s="79"/>
      <c r="AY742" s="650"/>
      <c r="AZ742" s="1025"/>
      <c r="BA742" s="79"/>
      <c r="BB742" s="79"/>
      <c r="BC742" s="79"/>
      <c r="BD742" s="650"/>
      <c r="BE742" s="1025"/>
      <c r="BF742" s="79"/>
      <c r="BG742" s="79"/>
      <c r="BH742" s="771"/>
      <c r="BI742" s="79"/>
      <c r="BJ742" s="1026"/>
      <c r="BK742" s="79"/>
      <c r="BL742" s="79"/>
      <c r="BM742" s="79"/>
      <c r="BN742" s="79"/>
      <c r="BO742" s="1026"/>
      <c r="BP742" s="1026"/>
      <c r="BQ742" s="1026"/>
      <c r="BR742" s="1026"/>
      <c r="BS742" s="649"/>
    </row>
    <row r="743" spans="1:71" s="29" customFormat="1" ht="15">
      <c r="A743" s="42" t="s">
        <v>304</v>
      </c>
      <c r="B743" s="519"/>
      <c r="C743" s="1033">
        <f>ROUND(INDEX(MO_BSS_NTR,0,COLUMN())/INDEX(MO_UI_NWP,0,COLUMN()),6)</f>
        <v>1.368603</v>
      </c>
      <c r="D743" s="1033">
        <f>ROUND(INDEX(MO_BSS_NTR,0,COLUMN())/INDEX(MO_UI_NWP,0,COLUMN()),6)</f>
        <v>1.395993</v>
      </c>
      <c r="E743" s="1033">
        <f>ROUND(INDEX(MO_BSS_NTR,0,COLUMN())/INDEX(MO_UI_NWP,0,COLUMN()),6)</f>
        <v>1.4467669999999999</v>
      </c>
      <c r="F743" s="1033">
        <f>ROUND(INDEX(MO_BSS_NTR,0,COLUMN())/INDEX(MO_UI_NWP,0,COLUMN()),6)</f>
        <v>1.3982680000000001</v>
      </c>
      <c r="G743" s="1033">
        <f>ROUND(INDEX(MO_BSS_NTR,0,COLUMN())/INDEX(MO_UI_NWP,0,COLUMN()),6)</f>
        <v>1.333404</v>
      </c>
      <c r="H743" s="649">
        <f>ROUND(INDEX(MO_BSS_NTR,0,COLUMN())/INDEX(MO_UI_NWP,0,COLUMN()),6)/(L3/H3)</f>
        <v>1.3349177260273974</v>
      </c>
      <c r="I743" s="649">
        <f>ROUND(INDEX(MO_BSS_NTR,0,COLUMN())/INDEX(MO_UI_NWP,0,COLUMN()),6)/(L3/I3)</f>
        <v>1.2791807671232875</v>
      </c>
      <c r="J743" s="649">
        <f>ROUND(INDEX(MO_BSS_NTR,0,COLUMN())/INDEX(MO_UI_NWP,0,COLUMN()),6)/(L3/J3)</f>
        <v>1.2594666410958903</v>
      </c>
      <c r="K743" s="649">
        <f>ROUND(INDEX(MO_BSS_NTR,0,COLUMN())/INDEX(MO_UI_NWP,0,COLUMN()),6)/(L3/K3)</f>
        <v>1.3296823013698629</v>
      </c>
      <c r="L743" s="1033">
        <f>ROUND(INDEX(MO_BSS_NTR,0,COLUMN())/INDEX(MO_UI_NWP,0,COLUMN()),6)</f>
        <v>1.29898</v>
      </c>
      <c r="M743" s="649">
        <f>ROUND(INDEX(MO_BSS_NTR,0,COLUMN())/INDEX(MO_UI_NWP,0,COLUMN()),6)/(Q3/M3)</f>
        <v>1.2994310958904109</v>
      </c>
      <c r="N743" s="649">
        <f>ROUND(INDEX(MO_BSS_NTR,0,COLUMN())/INDEX(MO_UI_NWP,0,COLUMN()),6)/(Q3/N3)</f>
        <v>1.2428406027397259</v>
      </c>
      <c r="O743" s="649">
        <f>ROUND(INDEX(MO_BSS_NTR,0,COLUMN())/INDEX(MO_UI_NWP,0,COLUMN()),6)/(Q3/O3)</f>
        <v>1.2347493917808219</v>
      </c>
      <c r="P743" s="649">
        <f>ROUND(INDEX(MO_BSS_NTR,0,COLUMN())/INDEX(MO_UI_NWP,0,COLUMN()),6)/(Q3/P3)</f>
        <v>1.3285367123287672</v>
      </c>
      <c r="Q743" s="1033">
        <f>ROUND(INDEX(MO_BSS_NTR,0,COLUMN())/INDEX(MO_UI_NWP,0,COLUMN()),6)</f>
        <v>1.289236</v>
      </c>
      <c r="R743" s="649">
        <f>ROUND(INDEX(MO_BSS_NTR,0,COLUMN())/INDEX(MO_UI_NWP,0,COLUMN()),6)/(V3/R3)</f>
        <v>1.3663334234972679</v>
      </c>
      <c r="S743" s="78">
        <f>ROUND(INDEX(MO_BSS_NTR,0,COLUMN())/INDEX(MO_UI_NWP,0,COLUMN()),6)/(V3/S3)</f>
        <v>1.2883267814207651</v>
      </c>
      <c r="T743" s="78">
        <f>ROUND(INDEX(MO_BSS_NTR,0,COLUMN())/INDEX(MO_UI_NWP,0,COLUMN()),6)/(V3/T3)</f>
        <v>1.2846088196721313</v>
      </c>
      <c r="U743" s="649">
        <f>ROUND(INDEX(MO_BSS_NTR,0,COLUMN())/INDEX(MO_UI_NWP,0,COLUMN()),6)/(V3/U3)</f>
        <v>1.3731932568306011</v>
      </c>
      <c r="V743" s="1033">
        <f>ROUND(INDEX(MO_BSS_NTR,0,COLUMN())/INDEX(MO_UI_NWP,0,COLUMN()),6)</f>
        <v>1.337833</v>
      </c>
      <c r="W743" s="78">
        <f>ROUND(INDEX(MO_BSS_NTR,0,COLUMN())/INDEX(MO_UI_NWP,0,COLUMN()),6)/(AA3/W3)</f>
        <v>1.3810398904109589</v>
      </c>
      <c r="X743" s="78">
        <f>ROUND(INDEX(MO_BSS_NTR,0,COLUMN())/INDEX(MO_UI_NWP,0,COLUMN()),6)/(AA3/X3)</f>
        <v>1.3170542191780821</v>
      </c>
      <c r="Y743" s="78">
        <f>ROUND(INDEX(MO_BSS_NTR,0,COLUMN())/INDEX(MO_UI_NWP,0,COLUMN()),6)/(AA3/Y3)</f>
        <v>1.3091927671232875</v>
      </c>
      <c r="Z743" s="244">
        <f>IFERROR(ROUND(INDEX(MO_BSS_NTR,0,COLUMN())/INDEX(MO_UI_NWP,0,COLUMN()),6)/(AA3/Z3),"n/a")</f>
        <v>1.3964954739726028</v>
      </c>
      <c r="AA743" s="1033">
        <f>ROUND(INDEX(MO_BSS_NTR,0,COLUMN())/INDEX(MO_UI_NWP,0,COLUMN()),6)</f>
        <v>1.3721559999999999</v>
      </c>
      <c r="AB743" s="78">
        <f>ROUND(INDEX(MO_BSS_NTR,0,COLUMN())/INDEX(MO_UI_NWP,0,COLUMN()),6)/(AF3/AB3)</f>
        <v>1.3510718630136986</v>
      </c>
      <c r="AC743" s="78">
        <f>ROUND(INDEX(MO_BSS_NTR,0,COLUMN())/INDEX(MO_UI_NWP,0,COLUMN()),6)/(AF3/AC3)</f>
        <v>1.2770792904109589</v>
      </c>
      <c r="AD743" s="78">
        <f>ROUND(INDEX(MO_BSS_NTR,0,COLUMN())/INDEX(MO_UI_NWP,0,COLUMN()),6)/(AF3/AD3)</f>
        <v>1.2765143671232877</v>
      </c>
      <c r="AE743" s="244">
        <f>IFERROR(ROUND(INDEX(MO_BSS_NTR,0,COLUMN())/INDEX(MO_UI_NWP,0,COLUMN()),6)/(AF3/AE3),"n/a")</f>
        <v>1.3423649424657536</v>
      </c>
      <c r="AF743" s="1033">
        <f>ROUND(INDEX(MO_BSS_NTR,0,COLUMN())/INDEX(MO_UI_NWP,0,COLUMN()),6)</f>
        <v>1.328446</v>
      </c>
      <c r="AG743" s="78">
        <f>ROUND(INDEX(MO_BSS_NTR,0,COLUMN())/INDEX(MO_UI_NWP,0,COLUMN()),6)/(AK3/AG3)</f>
        <v>1.3234287945205478</v>
      </c>
      <c r="AH743" s="78">
        <f>ROUND(INDEX(MO_BSS_NTR,0,COLUMN())/INDEX(MO_UI_NWP,0,COLUMN()),6)/(AK3/AH3)</f>
        <v>1.265515808219178</v>
      </c>
      <c r="AI743" s="78">
        <f>ROUND(INDEX(MO_BSS_NTR,0,COLUMN())/INDEX(MO_UI_NWP,0,COLUMN()),6)/(AK3/AI3)</f>
        <v>1.2568634191780821</v>
      </c>
      <c r="AJ743" s="244">
        <f>IFERROR(ROUND(INDEX(MO_BSS_NTR,0,COLUMN())/INDEX(MO_UI_NWP,0,COLUMN()),6)/(AK3/AJ3),"n/a")</f>
        <v>1.3312140383561644</v>
      </c>
      <c r="AK743" s="1033">
        <f>ROUND(INDEX(MO_BSS_NTR,0,COLUMN())/INDEX(MO_UI_NWP,0,COLUMN()),6)</f>
        <v>1.3028040000000001</v>
      </c>
      <c r="AL743" s="78">
        <f>ROUND(INDEX(MO_BSS_NTR,0,COLUMN())/INDEX(MO_UI_NWP,0,COLUMN()),6)/(AP3/AL3)</f>
        <v>1.3073246475409837</v>
      </c>
      <c r="AM743" s="78">
        <f>ROUND(INDEX(MO_BSS_NTR,0,COLUMN())/INDEX(MO_UI_NWP,0,COLUMN()),6)/(AP3/AM3)</f>
        <v>1.2484553551912567</v>
      </c>
      <c r="AN743" s="78">
        <f>ROUND(INDEX(MO_BSS_NTR,0,COLUMN())/INDEX(MO_UI_NWP,0,COLUMN()),6)/(AP3/AN3)</f>
        <v>1.2756395737704918</v>
      </c>
      <c r="AO743" s="244">
        <f>IFERROR(ROUND(INDEX(MO_BSS_NTR,0,COLUMN())/INDEX(MO_UI_NWP,0,COLUMN()),6)/(AP3/AO3),"n/a")</f>
        <v>1.375433180327869</v>
      </c>
      <c r="AP743" s="1033">
        <f>ROUND(INDEX(MO_BSS_NTR,0,COLUMN())/INDEX(MO_UI_NWP,0,COLUMN()),6)</f>
        <v>1.317015</v>
      </c>
      <c r="AQ743" s="78">
        <f>ROUND(INDEX(MO_BSS_NTR,0,COLUMN())/INDEX(MO_UI_NWP,0,COLUMN()),6)/(AU3/AQ3)</f>
        <v>1.0391353150684932</v>
      </c>
      <c r="AR743" s="78">
        <f>ROUND(INDEX(MO_BSS_NTR,0,COLUMN())/INDEX(MO_UI_NWP,0,COLUMN()),6)/(AU3/AR3)</f>
        <v>1.0176198410958903</v>
      </c>
      <c r="AS743" s="78">
        <f>ROUND(INDEX(MO_BSS_NTR,0,COLUMN())/INDEX(MO_UI_NWP,0,COLUMN()),6)/(AU3/AS3)</f>
        <v>1.0052310684931507</v>
      </c>
      <c r="AT743" s="244">
        <f>IFERROR(ROUND(INDEX(MO_BSS_NTR,0,COLUMN())/INDEX(MO_UI_NWP,0,COLUMN()),6)/(AU3/AT3),"n/a")</f>
        <v>1.0803781808219177</v>
      </c>
      <c r="AU743" s="1033">
        <f>ROUND(INDEX(MO_BSS_NTR,0,COLUMN())/INDEX(MO_UI_NWP,0,COLUMN()),6)</f>
        <v>1.0675809999999999</v>
      </c>
      <c r="AV743" s="78">
        <f>ROUND(INDEX(MO_BSS_NTR,0,COLUMN())/INDEX(MO_UI_NWP,0,COLUMN()),6)/(AZ3/AV3)</f>
        <v>1.0270420273972602</v>
      </c>
      <c r="AW743" s="78">
        <f>ROUND(INDEX(MO_BSS_NTR,0,COLUMN())/INDEX(MO_UI_NWP,0,COLUMN()),6)/(AZ3/AW3)</f>
        <v>1.0229305013698631</v>
      </c>
      <c r="AX743" s="78">
        <f>ROUND(INDEX(MO_BSS_NTR,0,COLUMN())/INDEX(MO_UI_NWP,0,COLUMN()),6)/(AZ3/AX3)</f>
        <v>1.0442778849315069</v>
      </c>
      <c r="AY743" s="244">
        <f>IFERROR(ROUND(INDEX(MO_BSS_NTR,0,COLUMN())/INDEX(MO_UI_NWP,0,COLUMN()),6)/(AZ3/AY3),"n/a")</f>
        <v>1.1311508383561644</v>
      </c>
      <c r="AZ743" s="1033">
        <f>ROUND(INDEX(MO_BSS_NTR,0,COLUMN())/INDEX(MO_UI_NWP,0,COLUMN()),6)</f>
        <v>1.1251880000000001</v>
      </c>
      <c r="BA743" s="78">
        <f>ROUND(INDEX(MO_BSS_NTR,0,COLUMN())/INDEX(MO_UI_NWP,0,COLUMN()),6)/(BE3/BA3)</f>
        <v>1.1081137808219179</v>
      </c>
      <c r="BB743" s="78">
        <f>ROUND(INDEX(MO_BSS_NTR,0,COLUMN())/INDEX(MO_UI_NWP,0,COLUMN()),6)/(BE3/BB3)</f>
        <v>1.1077729178082192</v>
      </c>
      <c r="BC743" s="78">
        <f>ROUND(INDEX(MO_BSS_NTR,0,COLUMN())/INDEX(MO_UI_NWP,0,COLUMN()),6)/(BE3/BC3)</f>
        <v>1.0875451068493149</v>
      </c>
      <c r="BD743" s="244">
        <f>IFERROR(ROUND(INDEX(MO_BSS_NTR,0,COLUMN())/INDEX(MO_UI_NWP,0,COLUMN()),6)/(BE3/BD3),"n/a")</f>
        <v>1.138733402739726</v>
      </c>
      <c r="BE743" s="1033">
        <f>ROUND(INDEX(MO_BSS_NTR,0,COLUMN())/INDEX(MO_UI_NWP,0,COLUMN()),6)</f>
        <v>1.134228</v>
      </c>
      <c r="BF743" s="78">
        <f>ROUND(INDEX(MO_BSS_NTR,0,COLUMN())/INDEX(MO_UI_NWP,0,COLUMN()),6)/(BJ3/BF3)</f>
        <v>1.0879877950819672</v>
      </c>
      <c r="BG743" s="78">
        <f>ROUND(INDEX(MO_BSS_NTR,0,COLUMN())/INDEX(MO_UI_NWP,0,COLUMN()),6)/(BJ3/BG3)</f>
        <v>1.0464249125683061</v>
      </c>
      <c r="BH743" s="772">
        <f>ROUND(INDEX(MO_BSS_NTR,0,COLUMN())/INDEX(MO_UI_NWP,0,COLUMN()),6)/(BJ3/BH3)</f>
        <v>1.043664087431694</v>
      </c>
      <c r="BI743" s="79">
        <f>IFERROR(ROUND(INDEX(MO_BSS_NTR,0,COLUMN())/INDEX(MO_UI_NWP,0,COLUMN()),6)/(BJ3/BI3),"N/A")</f>
        <v>1.2368449836065576</v>
      </c>
      <c r="BJ743" s="1026">
        <f>IFERROR(ROUND(INDEX(MO_BSS_NTR,0,COLUMN())/INDEX(MO_UI_NWP,0,COLUMN()),6),"N/A")</f>
        <v>1.107904</v>
      </c>
      <c r="BK743" s="79">
        <f>IFERROR(ROUND(INDEX(MO_BSS_NTR,0,COLUMN())/INDEX(MO_UI_NWP,0,COLUMN()),6)/(BO3/BK3),"N/A")</f>
        <v>1.0516983287671233</v>
      </c>
      <c r="BL743" s="79">
        <f>IFERROR(ROUND(INDEX(MO_BSS_NTR,0,COLUMN())/INDEX(MO_UI_NWP,0,COLUMN()),6)/(BO3/BL3),"N/A")</f>
        <v>0.9982178931506851</v>
      </c>
      <c r="BM743" s="79">
        <f>IFERROR(ROUND(INDEX(MO_BSS_NTR,0,COLUMN())/INDEX(MO_UI_NWP,0,COLUMN()),6)/(BO3/BM3),"N/A")</f>
        <v>0.99335575890410965</v>
      </c>
      <c r="BN743" s="79">
        <f>IFERROR(ROUND(INDEX(MO_BSS_NTR,0,COLUMN())/INDEX(MO_UI_NWP,0,COLUMN()),6)/(BO3/BN3),"N/A")</f>
        <v>1.170877698630137</v>
      </c>
      <c r="BO743" s="1026">
        <f>IFERROR(ROUND(INDEX(MO_BSS_NTR,0,COLUMN())/INDEX(MO_UI_NWP,0,COLUMN()),6),"N/A")</f>
        <v>1.0482009999999999</v>
      </c>
      <c r="BP743" s="1026">
        <f>IFERROR(ROUND(INDEX(MO_BSS_NTR,0,COLUMN())/INDEX(MO_UI_NWP,0,COLUMN()),6),"N/A")</f>
        <v>1.0623940000000001</v>
      </c>
      <c r="BQ743" s="1026">
        <f>IFERROR(ROUND(INDEX(MO_BSS_NTR,0,COLUMN())/INDEX(MO_UI_NWP,0,COLUMN()),6),"N/A")</f>
        <v>1.079051</v>
      </c>
      <c r="BR743" s="1026">
        <f>IFERROR(ROUND(INDEX(MO_BSS_NTR,0,COLUMN())/INDEX(MO_UI_NWP,0,COLUMN()),6),"N/A")</f>
        <v>1.095221</v>
      </c>
      <c r="BS743" s="649"/>
    </row>
    <row r="744" spans="1:71" s="29" customFormat="1" ht="15">
      <c r="A744" s="42" t="s">
        <v>305</v>
      </c>
      <c r="B744" s="519"/>
      <c r="C744" s="1033">
        <f>C778/C47</f>
        <v>0.58784798429016982</v>
      </c>
      <c r="D744" s="1033">
        <f>D778/D47</f>
        <v>0.60365924267572468</v>
      </c>
      <c r="E744" s="1033">
        <f>E778/E47</f>
        <v>0.60015396458814474</v>
      </c>
      <c r="F744" s="1033">
        <f>F778/F47</f>
        <v>0.63932363932363934</v>
      </c>
      <c r="G744" s="1033">
        <f>G778/G47</f>
        <v>0.64891350660417557</v>
      </c>
      <c r="H744" s="650"/>
      <c r="I744" s="650"/>
      <c r="J744" s="650"/>
      <c r="K744" s="650"/>
      <c r="L744" s="1033">
        <f>L778/L47</f>
        <v>0.58482474505301552</v>
      </c>
      <c r="M744" s="650"/>
      <c r="N744" s="650"/>
      <c r="O744" s="650"/>
      <c r="P744" s="650"/>
      <c r="Q744" s="1033">
        <f>Q778/Q47</f>
        <v>0.53402870007450354</v>
      </c>
      <c r="R744" s="650"/>
      <c r="S744" s="79"/>
      <c r="T744" s="79"/>
      <c r="U744" s="650"/>
      <c r="V744" s="1033">
        <f>V778/V47</f>
        <v>0.54446278851445407</v>
      </c>
      <c r="W744" s="79"/>
      <c r="X744" s="79"/>
      <c r="Y744" s="79"/>
      <c r="Z744" s="650"/>
      <c r="AA744" s="1033">
        <f>AA778/AA47</f>
        <v>0.58866279069767447</v>
      </c>
      <c r="AB744" s="79"/>
      <c r="AC744" s="79"/>
      <c r="AD744" s="79"/>
      <c r="AE744" s="650"/>
      <c r="AF744" s="1033">
        <f>AF778/AF47</f>
        <v>0.54081358962896742</v>
      </c>
      <c r="AG744" s="79"/>
      <c r="AH744" s="79"/>
      <c r="AI744" s="79"/>
      <c r="AJ744" s="650"/>
      <c r="AK744" s="1033">
        <f>AK778/AK47</f>
        <v>0.57596205426466018</v>
      </c>
      <c r="AL744" s="79"/>
      <c r="AM744" s="79"/>
      <c r="AN744" s="79"/>
      <c r="AO744" s="650"/>
      <c r="AP744" s="1033">
        <f>AP778/AP47</f>
        <v>0.59774099753970034</v>
      </c>
      <c r="AQ744" s="79"/>
      <c r="AR744" s="79"/>
      <c r="AS744" s="79"/>
      <c r="AT744" s="650"/>
      <c r="AU744" s="1033">
        <f>AU778/AU47</f>
        <v>0.52004448957879978</v>
      </c>
      <c r="AV744" s="79"/>
      <c r="AW744" s="79"/>
      <c r="AX744" s="79"/>
      <c r="AY744" s="650"/>
      <c r="AZ744" s="1033">
        <f>AZ778/AZ47</f>
        <v>0.33363181689125737</v>
      </c>
      <c r="BA744" s="79"/>
      <c r="BB744" s="79"/>
      <c r="BC744" s="79"/>
      <c r="BD744" s="650"/>
      <c r="BE744" s="1033">
        <f>BE778/BE47</f>
        <v>0.28919300057600256</v>
      </c>
      <c r="BF744" s="79"/>
      <c r="BG744" s="79"/>
      <c r="BH744" s="771"/>
      <c r="BI744" s="79"/>
      <c r="BJ744" s="1026"/>
      <c r="BK744" s="79"/>
      <c r="BL744" s="79"/>
      <c r="BM744" s="79"/>
      <c r="BN744" s="79"/>
      <c r="BO744" s="1026"/>
      <c r="BP744" s="1026"/>
      <c r="BQ744" s="1026"/>
      <c r="BR744" s="1026"/>
      <c r="BS744" s="649"/>
    </row>
    <row r="745" spans="1:71" s="29" customFormat="1" ht="15">
      <c r="A745" s="224"/>
      <c r="B745" s="519"/>
      <c r="C745" s="1025"/>
      <c r="D745" s="1025"/>
      <c r="E745" s="1025"/>
      <c r="F745" s="1025"/>
      <c r="G745" s="1025"/>
      <c r="H745" s="650"/>
      <c r="I745" s="650"/>
      <c r="J745" s="650"/>
      <c r="K745" s="650"/>
      <c r="L745" s="1025"/>
      <c r="M745" s="650"/>
      <c r="N745" s="650"/>
      <c r="O745" s="650"/>
      <c r="P745" s="650"/>
      <c r="Q745" s="1025"/>
      <c r="R745" s="650"/>
      <c r="S745" s="650"/>
      <c r="T745" s="650"/>
      <c r="U745" s="650"/>
      <c r="V745" s="1025"/>
      <c r="W745" s="650"/>
      <c r="X745" s="650"/>
      <c r="Y745" s="650"/>
      <c r="Z745" s="650"/>
      <c r="AA745" s="1025"/>
      <c r="AB745" s="650"/>
      <c r="AC745" s="650"/>
      <c r="AD745" s="650"/>
      <c r="AE745" s="650"/>
      <c r="AF745" s="1025"/>
      <c r="AG745" s="650"/>
      <c r="AH745" s="650"/>
      <c r="AI745" s="650"/>
      <c r="AJ745" s="650"/>
      <c r="AK745" s="1025"/>
      <c r="AL745" s="650"/>
      <c r="AM745" s="650"/>
      <c r="AN745" s="650"/>
      <c r="AO745" s="650"/>
      <c r="AP745" s="1025"/>
      <c r="AQ745" s="650"/>
      <c r="AR745" s="650"/>
      <c r="AS745" s="650"/>
      <c r="AT745" s="650"/>
      <c r="AU745" s="1025"/>
      <c r="AV745" s="650"/>
      <c r="AW745" s="650"/>
      <c r="AX745" s="650"/>
      <c r="AY745" s="650"/>
      <c r="AZ745" s="1025"/>
      <c r="BA745" s="650"/>
      <c r="BB745" s="650"/>
      <c r="BC745" s="650"/>
      <c r="BD745" s="650"/>
      <c r="BE745" s="1025"/>
      <c r="BF745" s="650"/>
      <c r="BG745" s="650"/>
      <c r="BH745" s="752"/>
      <c r="BI745" s="650"/>
      <c r="BJ745" s="1025"/>
      <c r="BK745" s="650"/>
      <c r="BL745" s="650"/>
      <c r="BM745" s="650"/>
      <c r="BN745" s="650"/>
      <c r="BO745" s="1025"/>
      <c r="BP745" s="1025"/>
      <c r="BQ745" s="1025"/>
      <c r="BR745" s="1025"/>
      <c r="BS745" s="649"/>
    </row>
    <row r="746" spans="1:71" s="51" customFormat="1" ht="15">
      <c r="A746" s="57" t="s">
        <v>101</v>
      </c>
      <c r="B746" s="483"/>
      <c r="C746" s="999">
        <f t="shared" si="2219" ref="C746:AK746">C984</f>
        <v>16692</v>
      </c>
      <c r="D746" s="999">
        <f t="shared" si="2219"/>
        <v>18617</v>
      </c>
      <c r="E746" s="999">
        <f t="shared" si="2219"/>
        <v>18298</v>
      </c>
      <c r="F746" s="999">
        <f t="shared" si="2219"/>
        <v>20580</v>
      </c>
      <c r="G746" s="999">
        <f t="shared" si="2219"/>
        <v>21480</v>
      </c>
      <c r="H746" s="57">
        <f t="shared" si="2219"/>
        <v>22105</v>
      </c>
      <c r="I746" s="57">
        <f t="shared" si="2219"/>
        <v>22872</v>
      </c>
      <c r="J746" s="57">
        <f t="shared" si="2219"/>
        <v>22329</v>
      </c>
      <c r="K746" s="57">
        <f t="shared" si="2219"/>
        <v>22304</v>
      </c>
      <c r="L746" s="999">
        <f t="shared" si="2219"/>
        <v>22304</v>
      </c>
      <c r="M746" s="57">
        <f t="shared" si="2219"/>
        <v>22179</v>
      </c>
      <c r="N746" s="57">
        <f t="shared" si="2219"/>
        <v>21298</v>
      </c>
      <c r="O746" s="57">
        <f t="shared" si="2219"/>
        <v>20504</v>
      </c>
      <c r="P746" s="57">
        <f t="shared" si="2219"/>
        <v>20025</v>
      </c>
      <c r="Q746" s="999">
        <f t="shared" si="2219"/>
        <v>20025</v>
      </c>
      <c r="R746" s="57">
        <f t="shared" si="2219"/>
        <v>20340</v>
      </c>
      <c r="S746" s="57">
        <f t="shared" si="2219"/>
        <v>20553</v>
      </c>
      <c r="T746" s="57">
        <f t="shared" si="2219"/>
        <v>20934</v>
      </c>
      <c r="U746" s="57">
        <f t="shared" si="2219"/>
        <v>20573</v>
      </c>
      <c r="V746" s="999">
        <f t="shared" si="2219"/>
        <v>20573</v>
      </c>
      <c r="W746" s="57">
        <f t="shared" si="2219"/>
        <v>21158</v>
      </c>
      <c r="X746" s="57">
        <f t="shared" si="2219"/>
        <v>21501</v>
      </c>
      <c r="Y746" s="57">
        <f t="shared" si="2219"/>
        <v>22119</v>
      </c>
      <c r="Z746" s="57">
        <f t="shared" si="2219"/>
        <v>22551</v>
      </c>
      <c r="AA746" s="999">
        <f t="shared" si="2219"/>
        <v>22551</v>
      </c>
      <c r="AB746" s="57">
        <f t="shared" si="2219"/>
        <v>23277</v>
      </c>
      <c r="AC746" s="57">
        <f t="shared" si="2219"/>
        <v>23122</v>
      </c>
      <c r="AD746" s="57">
        <f t="shared" si="2219"/>
        <v>23633</v>
      </c>
      <c r="AE746" s="57">
        <f t="shared" si="2219"/>
        <v>21312</v>
      </c>
      <c r="AF746" s="999">
        <f t="shared" si="2219"/>
        <v>21312</v>
      </c>
      <c r="AG746" s="57">
        <f t="shared" si="2219"/>
        <v>23418</v>
      </c>
      <c r="AH746" s="57">
        <f t="shared" si="2219"/>
        <v>24476</v>
      </c>
      <c r="AI746" s="57">
        <f t="shared" si="2219"/>
        <v>26140</v>
      </c>
      <c r="AJ746" s="57">
        <f t="shared" si="2219"/>
        <v>25998</v>
      </c>
      <c r="AK746" s="999">
        <f t="shared" si="2219"/>
        <v>25998</v>
      </c>
      <c r="AL746" s="57">
        <f>AL984</f>
        <v>24173</v>
      </c>
      <c r="AM746" s="57">
        <f>AM984</f>
        <v>26986</v>
      </c>
      <c r="AN746" s="57">
        <f>AN984</f>
        <v>27263</v>
      </c>
      <c r="AO746" s="57">
        <f t="shared" si="2220" ref="AO746:AP746">AO984</f>
        <v>30217</v>
      </c>
      <c r="AP746" s="999">
        <f t="shared" si="2220"/>
        <v>30217</v>
      </c>
      <c r="AQ746" s="57">
        <f t="shared" si="2221" ref="AQ746:AV746">AQ984</f>
        <v>26819</v>
      </c>
      <c r="AR746" s="57">
        <f t="shared" si="2221"/>
        <v>28207</v>
      </c>
      <c r="AS746" s="57">
        <f t="shared" si="2221"/>
        <v>26729</v>
      </c>
      <c r="AT746" s="57">
        <f t="shared" si="2221"/>
        <v>25179</v>
      </c>
      <c r="AU746" s="999">
        <f t="shared" si="2221"/>
        <v>25179</v>
      </c>
      <c r="AV746" s="57">
        <f t="shared" si="2221"/>
        <v>23212</v>
      </c>
      <c r="AW746" s="57">
        <f t="shared" si="2222" ref="AW746:BJ746">AW984</f>
        <v>20115</v>
      </c>
      <c r="AX746" s="57">
        <f t="shared" si="2222"/>
        <v>17673</v>
      </c>
      <c r="AY746" s="57">
        <f t="shared" si="2222"/>
        <v>17475</v>
      </c>
      <c r="AZ746" s="999">
        <f t="shared" si="2222"/>
        <v>17475</v>
      </c>
      <c r="BA746" s="57">
        <f t="shared" si="2223" ref="BA746:BI746">BA984</f>
        <v>17494</v>
      </c>
      <c r="BB746" s="57">
        <f t="shared" si="2223"/>
        <v>15517</v>
      </c>
      <c r="BC746" s="57">
        <f t="shared" si="2223"/>
        <v>14593</v>
      </c>
      <c r="BD746" s="57">
        <f t="shared" si="2223"/>
        <v>17770</v>
      </c>
      <c r="BE746" s="999">
        <f t="shared" si="2223"/>
        <v>17770</v>
      </c>
      <c r="BF746" s="57">
        <f>BF984</f>
        <v>18639</v>
      </c>
      <c r="BG746" s="57">
        <f>BG984</f>
        <v>18593</v>
      </c>
      <c r="BH746" s="745">
        <f>BH984</f>
        <v>20877</v>
      </c>
      <c r="BI746" s="128">
        <f t="shared" ca="1" si="2223"/>
        <v>21968.242416004097</v>
      </c>
      <c r="BJ746" s="1000">
        <f t="shared" ca="1" si="2222"/>
        <v>21968.242416004097</v>
      </c>
      <c r="BK746" s="128">
        <f ca="1" t="shared" si="2224" ref="BK746:BR746">BK984</f>
        <v>23179.286082130122</v>
      </c>
      <c r="BL746" s="128">
        <f t="shared" ca="1" si="2224"/>
        <v>23800.411046250672</v>
      </c>
      <c r="BM746" s="128">
        <f t="shared" ca="1" si="2224"/>
        <v>24772.965469757524</v>
      </c>
      <c r="BN746" s="128">
        <f t="shared" ca="1" si="2224"/>
        <v>26205.207663861962</v>
      </c>
      <c r="BO746" s="1000">
        <f t="shared" ca="1" si="2224"/>
        <v>26205.207663861962</v>
      </c>
      <c r="BP746" s="1000">
        <f t="shared" ca="1" si="2224"/>
        <v>30809.999389524324</v>
      </c>
      <c r="BQ746" s="1000">
        <f t="shared" ca="1" si="2224"/>
        <v>35549.98796772967</v>
      </c>
      <c r="BR746" s="1000">
        <f t="shared" ca="1" si="2224"/>
        <v>40445.796852767453</v>
      </c>
      <c r="BS746" s="57"/>
    </row>
    <row r="747" spans="1:71" s="300" customFormat="1" ht="15" hidden="1" outlineLevel="1">
      <c r="A747" s="110" t="s">
        <v>102</v>
      </c>
      <c r="B747" s="395"/>
      <c r="C747" s="998">
        <f t="shared" si="2225" ref="C747:AK747">C977</f>
        <v>0</v>
      </c>
      <c r="D747" s="998">
        <f t="shared" si="2225"/>
        <v>0</v>
      </c>
      <c r="E747" s="998">
        <f t="shared" si="2225"/>
        <v>0</v>
      </c>
      <c r="F747" s="998">
        <f t="shared" si="2225"/>
        <v>0</v>
      </c>
      <c r="G747" s="998">
        <f t="shared" si="2225"/>
        <v>780</v>
      </c>
      <c r="H747" s="58">
        <f t="shared" si="2225"/>
        <v>1505</v>
      </c>
      <c r="I747" s="58">
        <f t="shared" si="2225"/>
        <v>1746</v>
      </c>
      <c r="J747" s="58">
        <f t="shared" si="2225"/>
        <v>1746</v>
      </c>
      <c r="K747" s="58">
        <f t="shared" si="2225"/>
        <v>1746</v>
      </c>
      <c r="L747" s="998">
        <f t="shared" si="2225"/>
        <v>1746</v>
      </c>
      <c r="M747" s="58">
        <f t="shared" si="2225"/>
        <v>1746</v>
      </c>
      <c r="N747" s="58">
        <f t="shared" si="2225"/>
        <v>1746</v>
      </c>
      <c r="O747" s="58">
        <f t="shared" si="2225"/>
        <v>1746</v>
      </c>
      <c r="P747" s="58">
        <f t="shared" si="2225"/>
        <v>1746</v>
      </c>
      <c r="Q747" s="998">
        <f t="shared" si="2225"/>
        <v>1746</v>
      </c>
      <c r="R747" s="58">
        <f t="shared" si="2225"/>
        <v>1746</v>
      </c>
      <c r="S747" s="58">
        <f t="shared" si="2225"/>
        <v>1746</v>
      </c>
      <c r="T747" s="58">
        <f t="shared" si="2225"/>
        <v>1746</v>
      </c>
      <c r="U747" s="58">
        <f t="shared" si="2225"/>
        <v>1746</v>
      </c>
      <c r="V747" s="998">
        <f t="shared" si="2225"/>
        <v>1746</v>
      </c>
      <c r="W747" s="58">
        <f t="shared" si="2225"/>
        <v>1746</v>
      </c>
      <c r="X747" s="58">
        <f t="shared" si="2225"/>
        <v>1746</v>
      </c>
      <c r="Y747" s="58">
        <f t="shared" si="2225"/>
        <v>1746</v>
      </c>
      <c r="Z747" s="58">
        <f t="shared" si="2225"/>
        <v>1746</v>
      </c>
      <c r="AA747" s="998">
        <f t="shared" si="2225"/>
        <v>1746</v>
      </c>
      <c r="AB747" s="58">
        <f t="shared" si="2225"/>
        <v>2303</v>
      </c>
      <c r="AC747" s="58">
        <f t="shared" si="2225"/>
        <v>2303</v>
      </c>
      <c r="AD747" s="58">
        <f t="shared" si="2225"/>
        <v>2303</v>
      </c>
      <c r="AE747" s="58">
        <f t="shared" si="2225"/>
        <v>1930</v>
      </c>
      <c r="AF747" s="998">
        <f t="shared" si="2225"/>
        <v>1930</v>
      </c>
      <c r="AG747" s="58">
        <f t="shared" si="2225"/>
        <v>1930</v>
      </c>
      <c r="AH747" s="58">
        <f t="shared" si="2225"/>
        <v>1930</v>
      </c>
      <c r="AI747" s="58">
        <f t="shared" si="2225"/>
        <v>3052</v>
      </c>
      <c r="AJ747" s="58">
        <f t="shared" si="2225"/>
        <v>2248</v>
      </c>
      <c r="AK747" s="998">
        <f t="shared" si="2225"/>
        <v>2248</v>
      </c>
      <c r="AL747" s="58">
        <f>AL977</f>
        <v>1970</v>
      </c>
      <c r="AM747" s="58">
        <f>AM977</f>
        <v>1970</v>
      </c>
      <c r="AN747" s="58">
        <f>AN977</f>
        <v>1970</v>
      </c>
      <c r="AO747" s="58">
        <f t="shared" si="2226" ref="AO747:AP747">AO977</f>
        <v>1970</v>
      </c>
      <c r="AP747" s="998">
        <f t="shared" si="2226"/>
        <v>1970</v>
      </c>
      <c r="AQ747" s="58">
        <f t="shared" si="2227" ref="AQ747:AV747">AQ977</f>
        <v>2170</v>
      </c>
      <c r="AR747" s="58">
        <f t="shared" si="2227"/>
        <v>2170</v>
      </c>
      <c r="AS747" s="58">
        <f t="shared" si="2227"/>
        <v>1970</v>
      </c>
      <c r="AT747" s="58">
        <f t="shared" si="2227"/>
        <v>1970</v>
      </c>
      <c r="AU747" s="998">
        <f t="shared" si="2227"/>
        <v>1970</v>
      </c>
      <c r="AV747" s="58">
        <f t="shared" si="2227"/>
        <v>1970</v>
      </c>
      <c r="AW747" s="58">
        <f t="shared" si="2228" ref="AW747:BJ747">AW977</f>
        <v>1970</v>
      </c>
      <c r="AX747" s="58">
        <f t="shared" si="2228"/>
        <v>1970</v>
      </c>
      <c r="AY747" s="58">
        <f t="shared" si="2228"/>
        <v>1970</v>
      </c>
      <c r="AZ747" s="998">
        <f t="shared" si="2228"/>
        <v>1970</v>
      </c>
      <c r="BA747" s="58">
        <f t="shared" si="2229" ref="BA747:BI747">BA977</f>
        <v>1970</v>
      </c>
      <c r="BB747" s="58">
        <f t="shared" si="2229"/>
        <v>2001</v>
      </c>
      <c r="BC747" s="58">
        <f t="shared" si="2229"/>
        <v>2001</v>
      </c>
      <c r="BD747" s="58">
        <f t="shared" si="2229"/>
        <v>2001</v>
      </c>
      <c r="BE747" s="998">
        <f t="shared" si="2229"/>
        <v>2001</v>
      </c>
      <c r="BF747" s="58">
        <f>BF977</f>
        <v>2001</v>
      </c>
      <c r="BG747" s="58">
        <f>BG977</f>
        <v>2001</v>
      </c>
      <c r="BH747" s="744">
        <f>BH977</f>
        <v>2001</v>
      </c>
      <c r="BI747" s="115">
        <f t="shared" si="2229"/>
        <v>2001</v>
      </c>
      <c r="BJ747" s="995">
        <f t="shared" si="2228"/>
        <v>2001</v>
      </c>
      <c r="BK747" s="115">
        <f t="shared" si="2230" ref="BK747:BR747">BK977</f>
        <v>2001</v>
      </c>
      <c r="BL747" s="115">
        <f t="shared" si="2230"/>
        <v>2001</v>
      </c>
      <c r="BM747" s="115">
        <f t="shared" si="2230"/>
        <v>2001</v>
      </c>
      <c r="BN747" s="115">
        <f t="shared" si="2230"/>
        <v>2001</v>
      </c>
      <c r="BO747" s="995">
        <f t="shared" si="2230"/>
        <v>2001</v>
      </c>
      <c r="BP747" s="995">
        <f t="shared" si="2230"/>
        <v>2001</v>
      </c>
      <c r="BQ747" s="995">
        <f t="shared" si="2230"/>
        <v>2001</v>
      </c>
      <c r="BR747" s="995">
        <f t="shared" si="2230"/>
        <v>2001</v>
      </c>
      <c r="BS747" s="305"/>
    </row>
    <row r="748" spans="1:71" s="51" customFormat="1" ht="15" collapsed="1">
      <c r="A748" s="57" t="s">
        <v>103</v>
      </c>
      <c r="B748" s="483"/>
      <c r="C748" s="999">
        <f t="shared" si="2231" ref="C748:AK748">C746-C747</f>
        <v>16692</v>
      </c>
      <c r="D748" s="999">
        <f t="shared" si="2231"/>
        <v>18617</v>
      </c>
      <c r="E748" s="999">
        <f t="shared" si="2231"/>
        <v>18298</v>
      </c>
      <c r="F748" s="999">
        <f t="shared" si="2231"/>
        <v>20580</v>
      </c>
      <c r="G748" s="999">
        <f t="shared" si="2231"/>
        <v>20700</v>
      </c>
      <c r="H748" s="57">
        <f t="shared" si="2231"/>
        <v>20600</v>
      </c>
      <c r="I748" s="57">
        <f t="shared" si="2231"/>
        <v>21126</v>
      </c>
      <c r="J748" s="57">
        <f t="shared" si="2231"/>
        <v>20583</v>
      </c>
      <c r="K748" s="57">
        <f t="shared" si="2231"/>
        <v>20558</v>
      </c>
      <c r="L748" s="999">
        <f t="shared" si="2231"/>
        <v>20558</v>
      </c>
      <c r="M748" s="57">
        <f t="shared" si="2231"/>
        <v>20433</v>
      </c>
      <c r="N748" s="57">
        <f t="shared" si="2231"/>
        <v>19552</v>
      </c>
      <c r="O748" s="57">
        <f t="shared" si="2231"/>
        <v>18758</v>
      </c>
      <c r="P748" s="57">
        <f t="shared" si="2231"/>
        <v>18279</v>
      </c>
      <c r="Q748" s="999">
        <f t="shared" si="2231"/>
        <v>18279</v>
      </c>
      <c r="R748" s="57">
        <f t="shared" si="2231"/>
        <v>18594</v>
      </c>
      <c r="S748" s="57">
        <f t="shared" si="2231"/>
        <v>18807</v>
      </c>
      <c r="T748" s="57">
        <f t="shared" si="2231"/>
        <v>19188</v>
      </c>
      <c r="U748" s="57">
        <f t="shared" si="2231"/>
        <v>18827</v>
      </c>
      <c r="V748" s="999">
        <f t="shared" si="2231"/>
        <v>18827</v>
      </c>
      <c r="W748" s="57">
        <f t="shared" si="2231"/>
        <v>19412</v>
      </c>
      <c r="X748" s="57">
        <f t="shared" si="2231"/>
        <v>19755</v>
      </c>
      <c r="Y748" s="57">
        <f t="shared" si="2231"/>
        <v>20373</v>
      </c>
      <c r="Z748" s="57">
        <f t="shared" si="2231"/>
        <v>20805</v>
      </c>
      <c r="AA748" s="999">
        <f t="shared" si="2231"/>
        <v>20805</v>
      </c>
      <c r="AB748" s="57">
        <f t="shared" si="2231"/>
        <v>20974</v>
      </c>
      <c r="AC748" s="57">
        <f t="shared" si="2231"/>
        <v>20819</v>
      </c>
      <c r="AD748" s="57">
        <f t="shared" si="2231"/>
        <v>21330</v>
      </c>
      <c r="AE748" s="57">
        <f t="shared" si="2231"/>
        <v>19382</v>
      </c>
      <c r="AF748" s="999">
        <f t="shared" si="2231"/>
        <v>19382</v>
      </c>
      <c r="AG748" s="57">
        <f t="shared" si="2231"/>
        <v>21488</v>
      </c>
      <c r="AH748" s="57">
        <f t="shared" si="2231"/>
        <v>22546</v>
      </c>
      <c r="AI748" s="57">
        <f t="shared" si="2231"/>
        <v>23088</v>
      </c>
      <c r="AJ748" s="57">
        <f t="shared" si="2231"/>
        <v>23750</v>
      </c>
      <c r="AK748" s="999">
        <f t="shared" si="2231"/>
        <v>23750</v>
      </c>
      <c r="AL748" s="57">
        <f>AL746-AL747</f>
        <v>22203</v>
      </c>
      <c r="AM748" s="57">
        <f>AM746-AM747</f>
        <v>25016</v>
      </c>
      <c r="AN748" s="57">
        <f>AN746-AN747</f>
        <v>25293</v>
      </c>
      <c r="AO748" s="57">
        <f t="shared" si="2232" ref="AO748:AP748">AO746-AO747</f>
        <v>28247</v>
      </c>
      <c r="AP748" s="999">
        <f t="shared" si="2232"/>
        <v>28247</v>
      </c>
      <c r="AQ748" s="57">
        <f t="shared" si="2233" ref="AQ748:AV748">AQ746-AQ747</f>
        <v>24649</v>
      </c>
      <c r="AR748" s="57">
        <f t="shared" si="2233"/>
        <v>26037</v>
      </c>
      <c r="AS748" s="57">
        <f t="shared" si="2233"/>
        <v>24759</v>
      </c>
      <c r="AT748" s="57">
        <f t="shared" si="2233"/>
        <v>23209</v>
      </c>
      <c r="AU748" s="999">
        <f t="shared" si="2233"/>
        <v>23209</v>
      </c>
      <c r="AV748" s="57">
        <f t="shared" si="2233"/>
        <v>21242</v>
      </c>
      <c r="AW748" s="57">
        <f t="shared" si="2234" ref="AW748:BJ748">AW746-AW747</f>
        <v>18145</v>
      </c>
      <c r="AX748" s="57">
        <f t="shared" si="2234"/>
        <v>15703</v>
      </c>
      <c r="AY748" s="57">
        <f t="shared" si="2234"/>
        <v>15505</v>
      </c>
      <c r="AZ748" s="999">
        <f t="shared" si="2234"/>
        <v>15505</v>
      </c>
      <c r="BA748" s="57">
        <f t="shared" si="2235" ref="BA748:BI748">BA746-BA747</f>
        <v>15524</v>
      </c>
      <c r="BB748" s="57">
        <f t="shared" si="2235"/>
        <v>13516</v>
      </c>
      <c r="BC748" s="57">
        <f t="shared" si="2235"/>
        <v>12592</v>
      </c>
      <c r="BD748" s="57">
        <f t="shared" si="2235"/>
        <v>15769</v>
      </c>
      <c r="BE748" s="999">
        <f t="shared" si="2235"/>
        <v>15769</v>
      </c>
      <c r="BF748" s="57">
        <f>BF746-BF747</f>
        <v>16638</v>
      </c>
      <c r="BG748" s="57">
        <f>BG746-BG747</f>
        <v>16592</v>
      </c>
      <c r="BH748" s="745">
        <f>BH746-BH747</f>
        <v>18876</v>
      </c>
      <c r="BI748" s="128">
        <f t="shared" ca="1" si="2235"/>
        <v>19967.242416004097</v>
      </c>
      <c r="BJ748" s="1000">
        <f t="shared" ca="1" si="2234"/>
        <v>19967.242416004097</v>
      </c>
      <c r="BK748" s="128">
        <f ca="1" t="shared" si="2236" ref="BK748:BR748">BK746-BK747</f>
        <v>21178.286082130122</v>
      </c>
      <c r="BL748" s="128">
        <f t="shared" ca="1" si="2236"/>
        <v>21799.411046250672</v>
      </c>
      <c r="BM748" s="128">
        <f t="shared" ca="1" si="2236"/>
        <v>22771.965469757524</v>
      </c>
      <c r="BN748" s="128">
        <f t="shared" ca="1" si="2236"/>
        <v>24204.207663861962</v>
      </c>
      <c r="BO748" s="1000">
        <f t="shared" ca="1" si="2236"/>
        <v>24204.207663861962</v>
      </c>
      <c r="BP748" s="1000">
        <f t="shared" ca="1" si="2236"/>
        <v>28808.999389524324</v>
      </c>
      <c r="BQ748" s="1000">
        <f t="shared" ca="1" si="2236"/>
        <v>33548.98796772967</v>
      </c>
      <c r="BR748" s="1000">
        <f t="shared" ca="1" si="2236"/>
        <v>38444.796852767453</v>
      </c>
      <c r="BS748" s="57"/>
    </row>
    <row r="749" spans="1:71" s="51" customFormat="1" ht="15">
      <c r="A749" s="57" t="s">
        <v>104</v>
      </c>
      <c r="B749" s="483"/>
      <c r="C749" s="999">
        <f t="shared" si="2237" ref="C749:AK749">C748</f>
        <v>16692</v>
      </c>
      <c r="D749" s="999">
        <f t="shared" si="2237"/>
        <v>18617</v>
      </c>
      <c r="E749" s="999">
        <f t="shared" si="2237"/>
        <v>18298</v>
      </c>
      <c r="F749" s="999">
        <f t="shared" si="2237"/>
        <v>20580</v>
      </c>
      <c r="G749" s="999">
        <f t="shared" si="2237"/>
        <v>20700</v>
      </c>
      <c r="H749" s="57">
        <f t="shared" si="2237"/>
        <v>20600</v>
      </c>
      <c r="I749" s="57">
        <f t="shared" si="2237"/>
        <v>21126</v>
      </c>
      <c r="J749" s="57">
        <f t="shared" si="2237"/>
        <v>20583</v>
      </c>
      <c r="K749" s="57">
        <f t="shared" si="2237"/>
        <v>20558</v>
      </c>
      <c r="L749" s="999">
        <f t="shared" si="2237"/>
        <v>20558</v>
      </c>
      <c r="M749" s="57">
        <f t="shared" si="2237"/>
        <v>20433</v>
      </c>
      <c r="N749" s="57">
        <f t="shared" si="2237"/>
        <v>19552</v>
      </c>
      <c r="O749" s="57">
        <f t="shared" si="2237"/>
        <v>18758</v>
      </c>
      <c r="P749" s="57">
        <f t="shared" si="2237"/>
        <v>18279</v>
      </c>
      <c r="Q749" s="999">
        <f t="shared" si="2237"/>
        <v>18279</v>
      </c>
      <c r="R749" s="57">
        <f t="shared" si="2237"/>
        <v>18594</v>
      </c>
      <c r="S749" s="57">
        <f t="shared" si="2237"/>
        <v>18807</v>
      </c>
      <c r="T749" s="57">
        <f t="shared" si="2237"/>
        <v>19188</v>
      </c>
      <c r="U749" s="57">
        <f t="shared" si="2237"/>
        <v>18827</v>
      </c>
      <c r="V749" s="999">
        <f t="shared" si="2237"/>
        <v>18827</v>
      </c>
      <c r="W749" s="57">
        <f t="shared" si="2237"/>
        <v>19412</v>
      </c>
      <c r="X749" s="57">
        <f t="shared" si="2237"/>
        <v>19755</v>
      </c>
      <c r="Y749" s="57">
        <f t="shared" si="2237"/>
        <v>20373</v>
      </c>
      <c r="Z749" s="57">
        <f t="shared" si="2237"/>
        <v>20805</v>
      </c>
      <c r="AA749" s="999">
        <f t="shared" si="2237"/>
        <v>20805</v>
      </c>
      <c r="AB749" s="57">
        <f t="shared" si="2237"/>
        <v>20974</v>
      </c>
      <c r="AC749" s="57">
        <f t="shared" si="2237"/>
        <v>20819</v>
      </c>
      <c r="AD749" s="57">
        <f t="shared" si="2237"/>
        <v>21330</v>
      </c>
      <c r="AE749" s="57">
        <f t="shared" si="2237"/>
        <v>19382</v>
      </c>
      <c r="AF749" s="999">
        <f t="shared" si="2237"/>
        <v>19382</v>
      </c>
      <c r="AG749" s="57">
        <f t="shared" si="2237"/>
        <v>21488</v>
      </c>
      <c r="AH749" s="57">
        <f t="shared" si="2237"/>
        <v>22546</v>
      </c>
      <c r="AI749" s="57">
        <f t="shared" si="2237"/>
        <v>23088</v>
      </c>
      <c r="AJ749" s="57">
        <f t="shared" si="2237"/>
        <v>23750</v>
      </c>
      <c r="AK749" s="999">
        <f t="shared" si="2237"/>
        <v>23750</v>
      </c>
      <c r="AL749" s="57">
        <f>AL748</f>
        <v>22203</v>
      </c>
      <c r="AM749" s="57">
        <f>AM748</f>
        <v>25016</v>
      </c>
      <c r="AN749" s="57">
        <f>AN748</f>
        <v>25293</v>
      </c>
      <c r="AO749" s="57">
        <f t="shared" si="2238" ref="AO749:AP749">AO748</f>
        <v>28247</v>
      </c>
      <c r="AP749" s="999">
        <f t="shared" si="2238"/>
        <v>28247</v>
      </c>
      <c r="AQ749" s="57">
        <f t="shared" si="2239" ref="AQ749:AV749">AQ748</f>
        <v>24649</v>
      </c>
      <c r="AR749" s="57">
        <f t="shared" si="2239"/>
        <v>26037</v>
      </c>
      <c r="AS749" s="57">
        <f t="shared" si="2239"/>
        <v>24759</v>
      </c>
      <c r="AT749" s="57">
        <f t="shared" si="2239"/>
        <v>23209</v>
      </c>
      <c r="AU749" s="999">
        <f t="shared" si="2239"/>
        <v>23209</v>
      </c>
      <c r="AV749" s="57">
        <f t="shared" si="2239"/>
        <v>21242</v>
      </c>
      <c r="AW749" s="57">
        <f t="shared" si="2240" ref="AW749:BJ749">AW748</f>
        <v>18145</v>
      </c>
      <c r="AX749" s="57">
        <f t="shared" si="2240"/>
        <v>15703</v>
      </c>
      <c r="AY749" s="57">
        <f t="shared" si="2240"/>
        <v>15505</v>
      </c>
      <c r="AZ749" s="999">
        <f t="shared" si="2240"/>
        <v>15505</v>
      </c>
      <c r="BA749" s="57">
        <f t="shared" si="2241" ref="BA749:BI749">BA748</f>
        <v>15524</v>
      </c>
      <c r="BB749" s="57">
        <f t="shared" si="2241"/>
        <v>13516</v>
      </c>
      <c r="BC749" s="57">
        <f t="shared" si="2241"/>
        <v>12592</v>
      </c>
      <c r="BD749" s="57">
        <f t="shared" si="2241"/>
        <v>15769</v>
      </c>
      <c r="BE749" s="999">
        <f t="shared" si="2241"/>
        <v>15769</v>
      </c>
      <c r="BF749" s="57">
        <f>BF748</f>
        <v>16638</v>
      </c>
      <c r="BG749" s="57">
        <f>BG748</f>
        <v>16592</v>
      </c>
      <c r="BH749" s="745">
        <f>BH748</f>
        <v>18876</v>
      </c>
      <c r="BI749" s="128">
        <f t="shared" ca="1" si="2241"/>
        <v>19967.242416004097</v>
      </c>
      <c r="BJ749" s="1000">
        <f t="shared" ca="1" si="2240"/>
        <v>19967.242416004097</v>
      </c>
      <c r="BK749" s="128">
        <f ca="1" t="shared" si="2242" ref="BK749:BR749">BK748</f>
        <v>21178.286082130122</v>
      </c>
      <c r="BL749" s="128">
        <f t="shared" ca="1" si="2242"/>
        <v>21799.411046250672</v>
      </c>
      <c r="BM749" s="128">
        <f t="shared" ca="1" si="2242"/>
        <v>22771.965469757524</v>
      </c>
      <c r="BN749" s="128">
        <f t="shared" ca="1" si="2242"/>
        <v>24204.207663861962</v>
      </c>
      <c r="BO749" s="1000">
        <f t="shared" ca="1" si="2242"/>
        <v>24204.207663861962</v>
      </c>
      <c r="BP749" s="1000">
        <f t="shared" ca="1" si="2242"/>
        <v>28808.999389524324</v>
      </c>
      <c r="BQ749" s="1000">
        <f t="shared" ca="1" si="2242"/>
        <v>33548.98796772967</v>
      </c>
      <c r="BR749" s="1000">
        <f t="shared" ca="1" si="2242"/>
        <v>38444.796852767453</v>
      </c>
      <c r="BS749" s="57"/>
    </row>
    <row r="750" spans="1:71" s="29" customFormat="1" ht="15">
      <c r="A750" s="224"/>
      <c r="B750" s="519"/>
      <c r="C750" s="1025"/>
      <c r="D750" s="1025"/>
      <c r="E750" s="1025"/>
      <c r="F750" s="1025"/>
      <c r="G750" s="1025"/>
      <c r="H750" s="650"/>
      <c r="I750" s="650"/>
      <c r="J750" s="650"/>
      <c r="K750" s="650"/>
      <c r="L750" s="1025"/>
      <c r="M750" s="650"/>
      <c r="N750" s="650"/>
      <c r="O750" s="650"/>
      <c r="P750" s="650"/>
      <c r="Q750" s="1025"/>
      <c r="R750" s="650"/>
      <c r="S750" s="650"/>
      <c r="T750" s="650"/>
      <c r="U750" s="650"/>
      <c r="V750" s="1025"/>
      <c r="W750" s="650"/>
      <c r="X750" s="650"/>
      <c r="Y750" s="650"/>
      <c r="Z750" s="650"/>
      <c r="AA750" s="1025"/>
      <c r="AB750" s="650"/>
      <c r="AC750" s="650"/>
      <c r="AD750" s="650"/>
      <c r="AE750" s="650"/>
      <c r="AF750" s="1025"/>
      <c r="AG750" s="650"/>
      <c r="AH750" s="650"/>
      <c r="AI750" s="650"/>
      <c r="AJ750" s="650"/>
      <c r="AK750" s="1025"/>
      <c r="AL750" s="650"/>
      <c r="AM750" s="650"/>
      <c r="AN750" s="650"/>
      <c r="AO750" s="650"/>
      <c r="AP750" s="1025"/>
      <c r="AQ750" s="650"/>
      <c r="AR750" s="650"/>
      <c r="AS750" s="650"/>
      <c r="AT750" s="650"/>
      <c r="AU750" s="1025"/>
      <c r="AV750" s="650"/>
      <c r="AW750" s="650"/>
      <c r="AX750" s="650"/>
      <c r="AY750" s="650"/>
      <c r="AZ750" s="1025"/>
      <c r="BA750" s="650"/>
      <c r="BB750" s="650"/>
      <c r="BC750" s="650"/>
      <c r="BD750" s="650"/>
      <c r="BE750" s="1025"/>
      <c r="BF750" s="650"/>
      <c r="BG750" s="650"/>
      <c r="BH750" s="752"/>
      <c r="BI750" s="650"/>
      <c r="BJ750" s="1025"/>
      <c r="BK750" s="650"/>
      <c r="BL750" s="650"/>
      <c r="BM750" s="650"/>
      <c r="BN750" s="650"/>
      <c r="BO750" s="1025"/>
      <c r="BP750" s="1025"/>
      <c r="BQ750" s="1025"/>
      <c r="BR750" s="1025"/>
      <c r="BS750" s="649"/>
    </row>
    <row r="751" spans="1:71" s="27" customFormat="1" ht="15">
      <c r="A751" s="73" t="s">
        <v>105</v>
      </c>
      <c r="B751" s="517"/>
      <c r="C751" s="1070">
        <f t="shared" si="2243" ref="C751:AP751">ROUND(INDEX(MO_BSS_TotalCommonEquity,0,COLUMN())/INDEX(MO_RIS_ShareCount_EoPB,0,COLUMN()),6)</f>
        <v>30.836874000000002</v>
      </c>
      <c r="D751" s="1070">
        <f t="shared" si="2243"/>
        <v>34.578380000000003</v>
      </c>
      <c r="E751" s="1070">
        <f t="shared" si="2243"/>
        <v>36.176354000000003</v>
      </c>
      <c r="F751" s="1070">
        <f t="shared" si="2243"/>
        <v>42.389288999999998</v>
      </c>
      <c r="G751" s="1070">
        <f t="shared" si="2243"/>
        <v>45.305318</v>
      </c>
      <c r="H751" s="295">
        <f t="shared" si="2243"/>
        <v>46.701428</v>
      </c>
      <c r="I751" s="295">
        <f t="shared" si="2243"/>
        <v>47.970027000000002</v>
      </c>
      <c r="J751" s="295">
        <f t="shared" si="2243"/>
        <v>48.282899</v>
      </c>
      <c r="K751" s="295">
        <f t="shared" si="2243"/>
        <v>48.235570000000003</v>
      </c>
      <c r="L751" s="1070">
        <f t="shared" si="2243"/>
        <v>48.235570000000003</v>
      </c>
      <c r="M751" s="295">
        <f t="shared" si="2243"/>
        <v>49.188733999999997</v>
      </c>
      <c r="N751" s="295">
        <f t="shared" si="2243"/>
        <v>47.956831000000001</v>
      </c>
      <c r="O751" s="295">
        <f t="shared" si="2243"/>
        <v>47.536746000000001</v>
      </c>
      <c r="P751" s="295">
        <f t="shared" si="2243"/>
        <v>47.342657000000003</v>
      </c>
      <c r="Q751" s="1070">
        <f t="shared" si="2243"/>
        <v>47.342657000000003</v>
      </c>
      <c r="R751" s="295">
        <f t="shared" si="2243"/>
        <v>48.892978999999997</v>
      </c>
      <c r="S751" s="295">
        <f t="shared" si="2243"/>
        <v>50.152000000000001</v>
      </c>
      <c r="T751" s="295">
        <f t="shared" si="2243"/>
        <v>51.483767</v>
      </c>
      <c r="U751" s="295">
        <f t="shared" si="2243"/>
        <v>50.774002000000003</v>
      </c>
      <c r="V751" s="1070">
        <f t="shared" si="2243"/>
        <v>50.774002000000003</v>
      </c>
      <c r="W751" s="295">
        <f t="shared" si="2243"/>
        <v>52.408206999999997</v>
      </c>
      <c r="X751" s="295">
        <f t="shared" si="2243"/>
        <v>53.828338000000002</v>
      </c>
      <c r="Y751" s="295">
        <f t="shared" si="2243"/>
        <v>55.694369000000002</v>
      </c>
      <c r="Z751" s="295">
        <f t="shared" si="2243"/>
        <v>57.583725000000001</v>
      </c>
      <c r="AA751" s="1070">
        <f t="shared" si="2243"/>
        <v>57.583725000000001</v>
      </c>
      <c r="AB751" s="295">
        <f t="shared" si="2243"/>
        <v>58.635728</v>
      </c>
      <c r="AC751" s="295">
        <f t="shared" si="2243"/>
        <v>59.161693999999997</v>
      </c>
      <c r="AD751" s="295">
        <f t="shared" si="2243"/>
        <v>60.786549000000001</v>
      </c>
      <c r="AE751" s="295">
        <f t="shared" si="2243"/>
        <v>57.564597999999997</v>
      </c>
      <c r="AF751" s="1070">
        <f t="shared" si="2243"/>
        <v>57.564597999999997</v>
      </c>
      <c r="AG751" s="295">
        <f t="shared" si="2243"/>
        <v>64.528529000000006</v>
      </c>
      <c r="AH751" s="295">
        <f t="shared" si="2243"/>
        <v>67.281408999999996</v>
      </c>
      <c r="AI751" s="295">
        <f t="shared" si="2243"/>
        <v>69.836661000000007</v>
      </c>
      <c r="AJ751" s="295">
        <f t="shared" si="2243"/>
        <v>73.121921</v>
      </c>
      <c r="AK751" s="1070">
        <f t="shared" si="2243"/>
        <v>73.121921</v>
      </c>
      <c r="AL751" s="295">
        <f>ROUND(INDEX(MO_BSS_TotalCommonEquity,0,COLUMN())/INDEX(MO_RIS_ShareCount_EoPB,0,COLUMN()),6)</f>
        <v>69.667399000000003</v>
      </c>
      <c r="AM751" s="295">
        <f>ROUND(INDEX(MO_BSS_TotalCommonEquity,0,COLUMN())/INDEX(MO_RIS_ShareCount_EoPB,0,COLUMN()),6)</f>
        <v>79.214692999999997</v>
      </c>
      <c r="AN751" s="295">
        <f>ROUND(INDEX(MO_BSS_TotalCommonEquity,0,COLUMN())/INDEX(MO_RIS_ShareCount_EoPB,0,COLUMN()),6)</f>
        <v>82.387621999999993</v>
      </c>
      <c r="AO751" s="295">
        <f t="shared" si="2243"/>
        <v>91.503077000000005</v>
      </c>
      <c r="AP751" s="1070">
        <f t="shared" si="2243"/>
        <v>91.503077000000005</v>
      </c>
      <c r="AQ751" s="295">
        <f t="shared" si="2244" ref="AQ751:AV751">ROUND(INDEX(MO_BSS_TotalCommonEquity,0,COLUMN())/INDEX(MO_RIS_ShareCount_EoPB,0,COLUMN()),6)</f>
        <v>81.082237000000006</v>
      </c>
      <c r="AR751" s="295">
        <f t="shared" si="2244"/>
        <v>86.329576000000003</v>
      </c>
      <c r="AS751" s="295">
        <f t="shared" si="2244"/>
        <v>84.617225000000005</v>
      </c>
      <c r="AT751" s="295">
        <f t="shared" si="2244"/>
        <v>81.520899</v>
      </c>
      <c r="AU751" s="1070">
        <f t="shared" si="2244"/>
        <v>81.520899</v>
      </c>
      <c r="AV751" s="295">
        <f t="shared" si="2244"/>
        <v>75.945656</v>
      </c>
      <c r="AW751" s="295">
        <f t="shared" si="2245" ref="AW751:BJ751">ROUND(INDEX(MO_BSS_TotalCommonEquity,0,COLUMN())/INDEX(MO_RIS_ShareCount_EoPB,0,COLUMN()),6)</f>
        <v>66.150200999999996</v>
      </c>
      <c r="AX751" s="295">
        <f t="shared" si="2245"/>
        <v>58.353771999999999</v>
      </c>
      <c r="AY751" s="295">
        <f>ROUND(INDEX(MO_BSS_TotalCommonEquity,0,COLUMN())/INDEX(MO_RIS_ShareCount_EoPB,0,COLUMN()),6)</f>
        <v>58.071160999999996</v>
      </c>
      <c r="AZ751" s="1070">
        <f t="shared" si="2245"/>
        <v>58.071160999999996</v>
      </c>
      <c r="BA751" s="295">
        <f t="shared" si="2246" ref="BA751:BI751">ROUND(INDEX(MO_BSS_TotalCommonEquity,0,COLUMN())/INDEX(MO_RIS_ShareCount_EoPB,0,COLUMN()),6)</f>
        <v>58.647525999999999</v>
      </c>
      <c r="BB751" s="295">
        <f t="shared" si="2246"/>
        <v>51.294117999999997</v>
      </c>
      <c r="BC751" s="295">
        <f t="shared" si="2246"/>
        <v>47.787475999999998</v>
      </c>
      <c r="BD751" s="295">
        <f t="shared" si="2246"/>
        <v>59.393597</v>
      </c>
      <c r="BE751" s="1070">
        <f>ROUND(INDEX(MO_BSS_TotalCommonEquity,0,COLUMN())/INDEX(MO_RIS_ShareCount_EoPB,0,COLUMN()),6)</f>
        <v>59.393597</v>
      </c>
      <c r="BF751" s="295">
        <f>ROUND(INDEX(MO_BSS_TotalCommonEquity,0,COLUMN())/INDEX(MO_RIS_ShareCount_EoPB,0,COLUMN()),6)</f>
        <v>62.270294999999997</v>
      </c>
      <c r="BG751" s="295">
        <f>ROUND(INDEX(MO_BSS_TotalCommonEquity,0,COLUMN())/INDEX(MO_RIS_ShareCount_EoPB,0,COLUMN()),6)</f>
        <v>62.142322</v>
      </c>
      <c r="BH751" s="836">
        <f>ROUND(INDEX(MO_BSS_TotalCommonEquity,0,COLUMN())/INDEX(MO_RIS_ShareCount_EoPB,0,COLUMN()),6)</f>
        <v>70.354080999999994</v>
      </c>
      <c r="BI751" s="240">
        <f t="shared" ca="1" si="2246"/>
        <v>74.421328000000003</v>
      </c>
      <c r="BJ751" s="1071">
        <f t="shared" ca="1" si="2245"/>
        <v>74.421328000000003</v>
      </c>
      <c r="BK751" s="240">
        <f ca="1" t="shared" si="2247" ref="BK751:BR751">ROUND(INDEX(MO_BSS_TotalCommonEquity,0,COLUMN())/INDEX(MO_RIS_ShareCount_EoPB,0,COLUMN()),6)</f>
        <v>78.935095000000004</v>
      </c>
      <c r="BL751" s="240">
        <f t="shared" ca="1" si="2247"/>
        <v>81.250134000000003</v>
      </c>
      <c r="BM751" s="240">
        <f t="shared" ca="1" si="2247"/>
        <v>84.875011000000001</v>
      </c>
      <c r="BN751" s="240">
        <f t="shared" ca="1" si="2247"/>
        <v>90.213222999999999</v>
      </c>
      <c r="BO751" s="1071">
        <f t="shared" ca="1" si="2247"/>
        <v>90.213222999999999</v>
      </c>
      <c r="BP751" s="1071">
        <f t="shared" ca="1" si="2247"/>
        <v>107.376069</v>
      </c>
      <c r="BQ751" s="1071">
        <f t="shared" ca="1" si="2247"/>
        <v>125.042818</v>
      </c>
      <c r="BR751" s="1071">
        <f t="shared" ca="1" si="2247"/>
        <v>143.290335</v>
      </c>
      <c r="BS751" s="295"/>
    </row>
    <row r="752" spans="1:71" s="212" customFormat="1" ht="15">
      <c r="A752" s="208" t="str">
        <f>CONCATENATE("Consensus Estimates - ",IFERROR(LEFT(A751,FIND("(",A751)-1),A751))</f>
        <v>Consensus Estimates - Book Value per Common Share</v>
      </c>
      <c r="B752" s="235"/>
      <c r="C752" s="1072"/>
      <c r="D752" s="1072"/>
      <c r="E752" s="1072"/>
      <c r="F752" s="1072"/>
      <c r="G752" s="1072"/>
      <c r="H752" s="210"/>
      <c r="I752" s="210"/>
      <c r="J752" s="210"/>
      <c r="K752" s="210"/>
      <c r="L752" s="1072"/>
      <c r="M752" s="210"/>
      <c r="N752" s="210"/>
      <c r="O752" s="210"/>
      <c r="P752" s="210"/>
      <c r="Q752" s="1072"/>
      <c r="R752" s="210"/>
      <c r="S752" s="211"/>
      <c r="T752" s="210"/>
      <c r="U752" s="210"/>
      <c r="V752" s="1072"/>
      <c r="W752" s="210"/>
      <c r="X752" s="211"/>
      <c r="Y752" s="210"/>
      <c r="Z752" s="210"/>
      <c r="AA752" s="1072"/>
      <c r="AB752" s="210"/>
      <c r="AC752" s="211"/>
      <c r="AD752" s="210"/>
      <c r="AE752" s="210"/>
      <c r="AF752" s="1072"/>
      <c r="AG752" s="210"/>
      <c r="AH752" s="211"/>
      <c r="AI752" s="210"/>
      <c r="AJ752" s="210"/>
      <c r="AK752" s="1072"/>
      <c r="AL752" s="210"/>
      <c r="AM752" s="211"/>
      <c r="AN752" s="210"/>
      <c r="AO752" s="210"/>
      <c r="AP752" s="1072"/>
      <c r="AQ752" s="210"/>
      <c r="AR752" s="211"/>
      <c r="AS752" s="210"/>
      <c r="AT752" s="210"/>
      <c r="AU752" s="1072"/>
      <c r="AV752" s="210"/>
      <c r="AW752" s="211"/>
      <c r="AX752" s="210"/>
      <c r="AY752" s="210"/>
      <c r="AZ752" s="1072"/>
      <c r="BA752" s="210"/>
      <c r="BB752" s="211"/>
      <c r="BC752" s="210"/>
      <c r="BD752" s="210"/>
      <c r="BE752" s="1072"/>
      <c r="BF752" s="210"/>
      <c r="BG752" s="211"/>
      <c r="BH752" s="810"/>
      <c r="BI752" s="252" t="str">
        <f ca="1" t="shared" si="2248" ref="BI752:BO752">IFERROR(VLOOKUP($A752,tb_ConsensusEstimate,MATCH(BI$5,OFFSET(tb_ConsensusEstimate,0,0,1,COLUMNS(tb_ConsensusEstimate)),0),FALSE),"-")</f>
        <v>N/A</v>
      </c>
      <c r="BJ752" s="1073" t="str">
        <f t="shared" ca="1" si="2248"/>
        <v>N/A</v>
      </c>
      <c r="BK752" s="252" t="str">
        <f t="shared" ca="1" si="2248"/>
        <v>N/A</v>
      </c>
      <c r="BL752" s="252" t="str">
        <f t="shared" ca="1" si="2248"/>
        <v>N/A</v>
      </c>
      <c r="BM752" s="252" t="str">
        <f t="shared" ca="1" si="2248"/>
        <v>N/A</v>
      </c>
      <c r="BN752" s="252" t="str">
        <f t="shared" ca="1" si="2248"/>
        <v>N/A</v>
      </c>
      <c r="BO752" s="1073" t="str">
        <f t="shared" ca="1" si="2248"/>
        <v>N/A</v>
      </c>
      <c r="BP752" s="1073" t="str">
        <f ca="1">IFERROR(VLOOKUP($A752,tb_ConsensusEstimate,MATCH(BP5,OFFSET(tb_ConsensusEstimate,0,0,1,COLUMNS(tb_ConsensusEstimate)),0),FALSE),"-")</f>
        <v>N/A</v>
      </c>
      <c r="BQ752" s="1073" t="str">
        <f ca="1">IFERROR(VLOOKUP($A752,tb_ConsensusEstimate,MATCH(BQ5,OFFSET(tb_ConsensusEstimate,0,0,1,COLUMNS(tb_ConsensusEstimate)),0),FALSE),"-")</f>
        <v>N/A</v>
      </c>
      <c r="BR752" s="1073" t="str">
        <f ca="1">IFERROR(VLOOKUP($A752,tb_ConsensusEstimate,MATCH(BR5,OFFSET(tb_ConsensusEstimate,0,0,1,COLUMNS(tb_ConsensusEstimate)),0),FALSE),"-")</f>
        <v>N/A</v>
      </c>
      <c r="BS752" s="210"/>
    </row>
    <row r="753" spans="1:71" s="30" customFormat="1" ht="15">
      <c r="A753" s="74" t="s">
        <v>106</v>
      </c>
      <c r="B753" s="514"/>
      <c r="C753" s="1048">
        <f t="shared" si="2249" ref="C753:AP753">ROUND(INDEX(MO_BSS_TangibleCommonEquity,0,COLUMN())/INDEX(MO_RIS_ShareCount_EoPB,0,COLUMN()),6)</f>
        <v>30.836874000000002</v>
      </c>
      <c r="D753" s="1048">
        <f t="shared" si="2249"/>
        <v>34.578380000000003</v>
      </c>
      <c r="E753" s="1048">
        <f t="shared" si="2249"/>
        <v>36.176354000000003</v>
      </c>
      <c r="F753" s="1048">
        <f t="shared" si="2249"/>
        <v>42.389288999999998</v>
      </c>
      <c r="G753" s="1048">
        <f t="shared" si="2249"/>
        <v>45.305318</v>
      </c>
      <c r="H753" s="333">
        <f t="shared" si="2249"/>
        <v>46.701428</v>
      </c>
      <c r="I753" s="333">
        <f t="shared" si="2249"/>
        <v>47.970027000000002</v>
      </c>
      <c r="J753" s="333">
        <f t="shared" si="2249"/>
        <v>48.282899</v>
      </c>
      <c r="K753" s="333">
        <f t="shared" si="2249"/>
        <v>48.235570000000003</v>
      </c>
      <c r="L753" s="1048">
        <f t="shared" si="2249"/>
        <v>48.235570000000003</v>
      </c>
      <c r="M753" s="333">
        <f t="shared" si="2249"/>
        <v>49.188733999999997</v>
      </c>
      <c r="N753" s="333">
        <f t="shared" si="2249"/>
        <v>47.956831000000001</v>
      </c>
      <c r="O753" s="333">
        <f t="shared" si="2249"/>
        <v>47.536746000000001</v>
      </c>
      <c r="P753" s="333">
        <f t="shared" si="2249"/>
        <v>47.342657000000003</v>
      </c>
      <c r="Q753" s="1048">
        <f t="shared" si="2249"/>
        <v>47.342657000000003</v>
      </c>
      <c r="R753" s="333">
        <f t="shared" si="2249"/>
        <v>48.892978999999997</v>
      </c>
      <c r="S753" s="333">
        <f t="shared" si="2249"/>
        <v>50.152000000000001</v>
      </c>
      <c r="T753" s="333">
        <f t="shared" si="2249"/>
        <v>51.483767</v>
      </c>
      <c r="U753" s="333">
        <f t="shared" si="2249"/>
        <v>50.774002000000003</v>
      </c>
      <c r="V753" s="1048">
        <f t="shared" si="2249"/>
        <v>50.774002000000003</v>
      </c>
      <c r="W753" s="333">
        <f t="shared" si="2249"/>
        <v>52.408206999999997</v>
      </c>
      <c r="X753" s="333">
        <f t="shared" si="2249"/>
        <v>53.828338000000002</v>
      </c>
      <c r="Y753" s="333">
        <f t="shared" si="2249"/>
        <v>55.694369000000002</v>
      </c>
      <c r="Z753" s="333">
        <f t="shared" si="2249"/>
        <v>57.583725000000001</v>
      </c>
      <c r="AA753" s="1048">
        <f t="shared" si="2249"/>
        <v>57.583725000000001</v>
      </c>
      <c r="AB753" s="333">
        <f t="shared" si="2249"/>
        <v>58.635728</v>
      </c>
      <c r="AC753" s="333">
        <f t="shared" si="2249"/>
        <v>59.161693999999997</v>
      </c>
      <c r="AD753" s="333">
        <f t="shared" si="2249"/>
        <v>60.786549000000001</v>
      </c>
      <c r="AE753" s="333">
        <f t="shared" si="2249"/>
        <v>57.564597999999997</v>
      </c>
      <c r="AF753" s="1048">
        <f t="shared" si="2249"/>
        <v>57.564597999999997</v>
      </c>
      <c r="AG753" s="333">
        <f t="shared" si="2249"/>
        <v>64.528529000000006</v>
      </c>
      <c r="AH753" s="333">
        <f t="shared" si="2249"/>
        <v>67.281408999999996</v>
      </c>
      <c r="AI753" s="333">
        <f t="shared" si="2249"/>
        <v>69.836661000000007</v>
      </c>
      <c r="AJ753" s="333">
        <f t="shared" si="2249"/>
        <v>73.121921</v>
      </c>
      <c r="AK753" s="1048">
        <f t="shared" si="2249"/>
        <v>73.121921</v>
      </c>
      <c r="AL753" s="333">
        <f>ROUND(INDEX(MO_BSS_TangibleCommonEquity,0,COLUMN())/INDEX(MO_RIS_ShareCount_EoPB,0,COLUMN()),6)</f>
        <v>69.667399000000003</v>
      </c>
      <c r="AM753" s="333">
        <f>ROUND(INDEX(MO_BSS_TangibleCommonEquity,0,COLUMN())/INDEX(MO_RIS_ShareCount_EoPB,0,COLUMN()),6)</f>
        <v>79.214692999999997</v>
      </c>
      <c r="AN753" s="333">
        <f>ROUND(INDEX(MO_BSS_TangibleCommonEquity,0,COLUMN())/INDEX(MO_RIS_ShareCount_EoPB,0,COLUMN()),6)</f>
        <v>82.387621999999993</v>
      </c>
      <c r="AO753" s="333">
        <f t="shared" si="2249"/>
        <v>91.503077000000005</v>
      </c>
      <c r="AP753" s="1048">
        <f t="shared" si="2249"/>
        <v>91.503077000000005</v>
      </c>
      <c r="AQ753" s="333">
        <f t="shared" si="2250" ref="AQ753:AV753">ROUND(INDEX(MO_BSS_TangibleCommonEquity,0,COLUMN())/INDEX(MO_RIS_ShareCount_EoPB,0,COLUMN()),6)</f>
        <v>81.082237000000006</v>
      </c>
      <c r="AR753" s="333">
        <f t="shared" si="2250"/>
        <v>86.329576000000003</v>
      </c>
      <c r="AS753" s="333">
        <f t="shared" si="2250"/>
        <v>84.617225000000005</v>
      </c>
      <c r="AT753" s="333">
        <f t="shared" si="2250"/>
        <v>81.520899</v>
      </c>
      <c r="AU753" s="1048">
        <f t="shared" si="2250"/>
        <v>81.520899</v>
      </c>
      <c r="AV753" s="333">
        <f t="shared" si="2250"/>
        <v>75.945656</v>
      </c>
      <c r="AW753" s="333">
        <f t="shared" si="2251" ref="AW753:BJ753">ROUND(INDEX(MO_BSS_TangibleCommonEquity,0,COLUMN())/INDEX(MO_RIS_ShareCount_EoPB,0,COLUMN()),6)</f>
        <v>66.150200999999996</v>
      </c>
      <c r="AX753" s="333">
        <f t="shared" si="2251"/>
        <v>58.353771999999999</v>
      </c>
      <c r="AY753" s="333">
        <f t="shared" si="2251"/>
        <v>58.071160999999996</v>
      </c>
      <c r="AZ753" s="1048">
        <f t="shared" si="2251"/>
        <v>58.071160999999996</v>
      </c>
      <c r="BA753" s="333">
        <f t="shared" si="2252" ref="BA753:BI753">ROUND(INDEX(MO_BSS_TangibleCommonEquity,0,COLUMN())/INDEX(MO_RIS_ShareCount_EoPB,0,COLUMN()),6)</f>
        <v>58.647525999999999</v>
      </c>
      <c r="BB753" s="333">
        <f t="shared" si="2252"/>
        <v>51.294117999999997</v>
      </c>
      <c r="BC753" s="333">
        <f t="shared" si="2252"/>
        <v>47.787475999999998</v>
      </c>
      <c r="BD753" s="333">
        <f t="shared" si="2252"/>
        <v>59.393597</v>
      </c>
      <c r="BE753" s="1048">
        <f t="shared" si="2252"/>
        <v>59.393597</v>
      </c>
      <c r="BF753" s="333">
        <f>ROUND(INDEX(MO_BSS_TangibleCommonEquity,0,COLUMN())/INDEX(MO_RIS_ShareCount_EoPB,0,COLUMN()),6)</f>
        <v>62.270294999999997</v>
      </c>
      <c r="BG753" s="333">
        <f>ROUND(INDEX(MO_BSS_TangibleCommonEquity,0,COLUMN())/INDEX(MO_RIS_ShareCount_EoPB,0,COLUMN()),6)</f>
        <v>62.142322</v>
      </c>
      <c r="BH753" s="834">
        <f>ROUND(INDEX(MO_BSS_TangibleCommonEquity,0,COLUMN())/INDEX(MO_RIS_ShareCount_EoPB,0,COLUMN()),6)</f>
        <v>70.354080999999994</v>
      </c>
      <c r="BI753" s="334">
        <f t="shared" ca="1" si="2252"/>
        <v>74.421328000000003</v>
      </c>
      <c r="BJ753" s="1049">
        <f t="shared" ca="1" si="2251"/>
        <v>74.421328000000003</v>
      </c>
      <c r="BK753" s="334">
        <f ca="1" t="shared" si="2253" ref="BK753:BR753">ROUND(INDEX(MO_BSS_TangibleCommonEquity,0,COLUMN())/INDEX(MO_RIS_ShareCount_EoPB,0,COLUMN()),6)</f>
        <v>78.935095000000004</v>
      </c>
      <c r="BL753" s="334">
        <f t="shared" ca="1" si="2253"/>
        <v>81.250134000000003</v>
      </c>
      <c r="BM753" s="334">
        <f t="shared" ca="1" si="2253"/>
        <v>84.875011000000001</v>
      </c>
      <c r="BN753" s="334">
        <f t="shared" ca="1" si="2253"/>
        <v>90.213222999999999</v>
      </c>
      <c r="BO753" s="1049">
        <f t="shared" ca="1" si="2253"/>
        <v>90.213222999999999</v>
      </c>
      <c r="BP753" s="1049">
        <f t="shared" ca="1" si="2253"/>
        <v>107.376069</v>
      </c>
      <c r="BQ753" s="1049">
        <f t="shared" ca="1" si="2253"/>
        <v>125.042818</v>
      </c>
      <c r="BR753" s="1049">
        <f t="shared" ca="1" si="2253"/>
        <v>143.290335</v>
      </c>
      <c r="BS753" s="333"/>
    </row>
    <row r="754" spans="1:71" s="29" customFormat="1" ht="15">
      <c r="A754" s="520"/>
      <c r="B754" s="519"/>
      <c r="C754" s="1025"/>
      <c r="D754" s="1025"/>
      <c r="E754" s="1025"/>
      <c r="F754" s="1025"/>
      <c r="G754" s="1025"/>
      <c r="H754" s="650"/>
      <c r="I754" s="650"/>
      <c r="J754" s="650"/>
      <c r="K754" s="650"/>
      <c r="L754" s="1025"/>
      <c r="M754" s="650"/>
      <c r="N754" s="650"/>
      <c r="O754" s="650"/>
      <c r="P754" s="650"/>
      <c r="Q754" s="1025"/>
      <c r="R754" s="650"/>
      <c r="S754" s="650"/>
      <c r="T754" s="650"/>
      <c r="U754" s="650"/>
      <c r="V754" s="1025"/>
      <c r="W754" s="650"/>
      <c r="X754" s="650"/>
      <c r="Y754" s="650"/>
      <c r="Z754" s="650"/>
      <c r="AA754" s="1025"/>
      <c r="AB754" s="650"/>
      <c r="AC754" s="650"/>
      <c r="AD754" s="650"/>
      <c r="AE754" s="650"/>
      <c r="AF754" s="1025"/>
      <c r="AG754" s="650"/>
      <c r="AH754" s="650"/>
      <c r="AI754" s="650"/>
      <c r="AJ754" s="650"/>
      <c r="AK754" s="1025"/>
      <c r="AL754" s="650"/>
      <c r="AM754" s="650"/>
      <c r="AN754" s="650"/>
      <c r="AO754" s="650"/>
      <c r="AP754" s="1025"/>
      <c r="AQ754" s="650"/>
      <c r="AR754" s="650"/>
      <c r="AS754" s="650"/>
      <c r="AT754" s="650"/>
      <c r="AU754" s="1025"/>
      <c r="AV754" s="650"/>
      <c r="AW754" s="650"/>
      <c r="AX754" s="650"/>
      <c r="AY754" s="650"/>
      <c r="AZ754" s="1025"/>
      <c r="BA754" s="650"/>
      <c r="BB754" s="650"/>
      <c r="BC754" s="650"/>
      <c r="BD754" s="650"/>
      <c r="BE754" s="1025"/>
      <c r="BF754" s="650"/>
      <c r="BG754" s="650"/>
      <c r="BH754" s="752"/>
      <c r="BI754" s="650"/>
      <c r="BJ754" s="1025"/>
      <c r="BK754" s="650"/>
      <c r="BL754" s="650"/>
      <c r="BM754" s="650"/>
      <c r="BN754" s="650"/>
      <c r="BO754" s="1025"/>
      <c r="BP754" s="1025"/>
      <c r="BQ754" s="1025"/>
      <c r="BR754" s="1025"/>
      <c r="BS754" s="649"/>
    </row>
    <row r="755" spans="1:71" s="32" customFormat="1" ht="15">
      <c r="A755" s="41" t="s">
        <v>306</v>
      </c>
      <c r="B755" s="521"/>
      <c r="C755" s="1035"/>
      <c r="D755" s="1036">
        <f>D699/AVERAGE(C961,D961)</f>
        <v>0.011696662005228916</v>
      </c>
      <c r="E755" s="1036">
        <f>E699/AVERAGE(D961,E961)</f>
        <v>0.0051780846562088133</v>
      </c>
      <c r="F755" s="1036">
        <f>F699/AVERAGE(E961,F961)</f>
        <v>0.01703815340683747</v>
      </c>
      <c r="G755" s="1036">
        <f>G699/AVERAGE(F961,G961)</f>
        <v>0.021320173915126545</v>
      </c>
      <c r="H755" s="54">
        <f>H699*(L$3/H$3)/AVERAGE(G961,H961)</f>
        <v>0.019245849995897409</v>
      </c>
      <c r="I755" s="54">
        <f>I699*(L$3/I$3)/AVERAGE(H961,I961)</f>
        <v>0.01522138552890203</v>
      </c>
      <c r="J755" s="54">
        <f>J699*(L$3/J$3)/AVERAGE(I961,J961)</f>
        <v>0.021711974302540002</v>
      </c>
      <c r="K755" s="54">
        <f>K699*(L$3/K$3)/AVERAGE(J961,K961)</f>
        <v>0.02693863618541531</v>
      </c>
      <c r="L755" s="1036">
        <f>L699/AVERAGE(G961,H961,I961,J961,K961)</f>
        <v>0.020588588337830289</v>
      </c>
      <c r="M755" s="54">
        <f>M699*(Q$3/M$3)/AVERAGE(L961,M961)</f>
        <v>0.023073682568563493</v>
      </c>
      <c r="N755" s="54">
        <f>N699*(Q$3/N$3)/AVERAGE(M961,N961)</f>
        <v>0.0097673969437740392</v>
      </c>
      <c r="O755" s="54">
        <f>O699*(Q$3/O$3)/AVERAGE(N961,O961)</f>
        <v>0.02272765319959218</v>
      </c>
      <c r="P755" s="54">
        <f>P699*(Q$3/P$3)/AVERAGE(O961,P961)</f>
        <v>0.023558771195148726</v>
      </c>
      <c r="Q755" s="1036">
        <f>Q699/AVERAGE(L961,M961,N961,O961,P961)</f>
        <v>0.019778532850336508</v>
      </c>
      <c r="R755" s="54">
        <f>R699*(V$3/R$3)/AVERAGE(Q961,R961)</f>
        <v>0.012298750949197525</v>
      </c>
      <c r="S755" s="54">
        <f>S699*(V$3/S$3)/AVERAGE(R961,S961)</f>
        <v>0.0088651728422681052</v>
      </c>
      <c r="T755" s="54">
        <f>T699*(V$3/T$3)/AVERAGE(S961,T961)</f>
        <v>0.01747462621500144</v>
      </c>
      <c r="U755" s="54">
        <f>U699*(V$3/U$3)/AVERAGE(T961,U961)</f>
        <v>0.02956943012557512</v>
      </c>
      <c r="V755" s="1036">
        <f>V699/AVERAGE(Q961,R961,S961,T961,U961)</f>
        <v>0.017176478504169829</v>
      </c>
      <c r="W755" s="54">
        <f>W699*(AA$3/W$3)/AVERAGE(V961,W961)</f>
        <v>0.022533643841096788</v>
      </c>
      <c r="X755" s="54">
        <f>X699*(AA$3/X$3)/AVERAGE(W961,X961)</f>
        <v>0.01850321467883926</v>
      </c>
      <c r="Y755" s="54">
        <f>Y699*(AA$3/Y$3)/AVERAGE(X961,Y961)</f>
        <v>0.0207473480327325</v>
      </c>
      <c r="Z755" s="54">
        <f>Z699*(AA$3/Z$3)/AVERAGE(Y961,Z961)</f>
        <v>0.026747168144894969</v>
      </c>
      <c r="AA755" s="1036">
        <f>AA699/AVERAGE(V961,W961,X961,Y961,Z961)</f>
        <v>0.022194353080040016</v>
      </c>
      <c r="AB755" s="54">
        <f>AB699*(AF$3/AB$3)/AVERAGE(AA961,AB961)</f>
        <v>0.038307589990937273</v>
      </c>
      <c r="AC755" s="54">
        <f>AC699*(AF$3/AC$3)/AVERAGE(AB961,AC961)</f>
        <v>0.023889892105441523</v>
      </c>
      <c r="AD755" s="54">
        <f>AD699*(AF$3/AD$3)/AVERAGE(AC961,AD961)</f>
        <v>0.023679785191337819</v>
      </c>
      <c r="AE755" s="54">
        <f>AE699*(AF$3/AE$3)/AVERAGE(AD961,AE961)</f>
        <v>0.01504794729507994</v>
      </c>
      <c r="AF755" s="1036">
        <f>AF699/AVERAGE(AA961,AB961,AC961,AD961,AE961)</f>
        <v>0.025193568968168264</v>
      </c>
      <c r="AG755" s="54">
        <f>AG699*(AK$3/AG$3)/AVERAGE(AF961,AG961)</f>
        <v>0.027596191834648884</v>
      </c>
      <c r="AH755" s="54">
        <f>AH699*(AK$3/AH$3)/AVERAGE(AG961,AH961)</f>
        <v>0.025174861004550853</v>
      </c>
      <c r="AI755" s="54">
        <f>AI699*(AK$3/AI$3)/AVERAGE(AH961,AI961)</f>
        <v>0.031348500285349523</v>
      </c>
      <c r="AJ755" s="54">
        <f>AJ699*(AK$3/AJ$3)/AVERAGE(AI961,AJ961)</f>
        <v>0.033579692647048479</v>
      </c>
      <c r="AK755" s="1036">
        <f>AK699/AVERAGE(AF961,AG961,AH961,AI961,AJ961)</f>
        <v>0.029592496765847347</v>
      </c>
      <c r="AL755" s="54">
        <f>AL699*(AP$3/AL$3)/AVERAGE(AK961,AL961)</f>
        <v>0.040959747708541432</v>
      </c>
      <c r="AM755" s="54">
        <f>AM699*(AP$3/AM$3)/AVERAGE(AL961,AM961)</f>
        <v>0.027652126113197929</v>
      </c>
      <c r="AN755" s="54">
        <f>AN699*(AP$3/AN$3)/AVERAGE(AM961,AN961)</f>
        <v>0.029345901765529273</v>
      </c>
      <c r="AO755" s="54">
        <f>AO699*(AP$3/AO$3)/AVERAGE(AN961,AO961)</f>
        <v>0.050988375883659898</v>
      </c>
      <c r="AP755" s="1036">
        <f>AP699/AVERAGE(AK961,AL961,AM961,AN961,AO961)</f>
        <v>0.037224037224037221</v>
      </c>
      <c r="AQ755" s="54">
        <f>AQ699*(AU$3/AQ$3)/AVERAGE(AP961,AQ961)</f>
        <v>0.059327629179621769</v>
      </c>
      <c r="AR755" s="54">
        <f>AR699*(AU$3/AR$3)/AVERAGE(AQ961,AR961)</f>
        <v>0.035119498073006114</v>
      </c>
      <c r="AS755" s="54">
        <f>AS699*(AU$3/AS$3)/AVERAGE(AR961,AS961)</f>
        <v>0.0064710929525259283</v>
      </c>
      <c r="AT755" s="54">
        <f>AT699*(AU$3/AT$3)/AVERAGE(AS961,AT961)</f>
        <v>0.027121637566651233</v>
      </c>
      <c r="AU755" s="1036">
        <f>AU699/AVERAGE(AP961,AQ961,AR961,AS961,AT961)</f>
        <v>0.032455043367277142</v>
      </c>
      <c r="AV755" s="54">
        <f>AV699*(AZ$3/AV$3)/AVERAGE(AU961,AV961)</f>
        <v>0.030119085971367365</v>
      </c>
      <c r="AW755" s="54">
        <f>AW699*(AZ$3/AW$3)/AVERAGE(AV961,AW961)</f>
        <v>-0.0085816509072323029</v>
      </c>
      <c r="AX755" s="54">
        <f>AX699*(AZ$3/AX$3)/AVERAGE(AW961,AX961)</f>
        <v>-0.016808034243729772</v>
      </c>
      <c r="AY755" s="54">
        <f>AY699*(AZ$3/AY$3)/AVERAGE(AX961,AY961)</f>
        <v>-0.01423639516672634</v>
      </c>
      <c r="AZ755" s="1036">
        <f>AZ699/AVERAGE(AU961,AV961,AW961,AX961,AY961)</f>
        <v>-0.0024458985658233263</v>
      </c>
      <c r="BA755" s="54">
        <f>BA699*(BE$3/BA$3)/AVERAGE(AZ961,BA961)</f>
        <v>-0.014039314128388363</v>
      </c>
      <c r="BB755" s="54">
        <f>BB699*(BE$3/BB$3)/AVERAGE(BA961,BB961)</f>
        <v>-0.046573926211189193</v>
      </c>
      <c r="BC755" s="54">
        <f>BC699*(BE$3/BC$3)/AVERAGE(BB961,BC961)</f>
        <v>0.008419076197436013</v>
      </c>
      <c r="BD755" s="54">
        <f>BD699*(BE$3/BD$3)/AVERAGE(BC961,BD961)</f>
        <v>0.059781067576685019</v>
      </c>
      <c r="BE755" s="1036">
        <f>BE699/AVERAGE(AZ961,BA961,BB961,BC961,BD961)</f>
        <v>0.0024968168072576793</v>
      </c>
      <c r="BF755" s="54">
        <f>BF699*(BJ$3/BF$3)/AVERAGE(BE961,BF961)</f>
        <v>0.052712990283399146</v>
      </c>
      <c r="BG755" s="54">
        <f>BG699*(BJ$3/BG$3)/AVERAGE(BF961,BG961)</f>
        <v>0.0161550175454084</v>
      </c>
      <c r="BH755" s="754">
        <f>BH699*(BJ$3/BH$3)/AVERAGE(BG961,BH961)</f>
        <v>0.037541746165695063</v>
      </c>
      <c r="BI755" s="221">
        <f ca="1">BI699*(BJ$3/BI$3)/AVERAGE(BH961,BI961)</f>
        <v>0.045217302978206191</v>
      </c>
      <c r="BJ755" s="1035">
        <f ca="1">BJ699/AVERAGE(BE961,BF961,BG961,BH961,BI961)</f>
        <v>0.037984586055344341</v>
      </c>
      <c r="BK755" s="221">
        <f ca="1">BK699*(BO$3/BK$3)/AVERAGE(BJ961,BK961)</f>
        <v>0.049778456270524338</v>
      </c>
      <c r="BL755" s="221">
        <f ca="1">BL699*(BO$3/BL$3)/AVERAGE(BK961,BL961)</f>
        <v>0.028255161103547054</v>
      </c>
      <c r="BM755" s="221">
        <f ca="1">BM699*(BO$3/BM$3)/AVERAGE(BL961,BM961)</f>
        <v>0.039371154045361852</v>
      </c>
      <c r="BN755" s="221">
        <f ca="1">BN699*(BO$3/BN$3)/AVERAGE(BM961,BN961)</f>
        <v>0.054257375619939686</v>
      </c>
      <c r="BO755" s="1035">
        <f ca="1">BO699/AVERAGE(BJ961,BK961,BL961,BM961,BN961)</f>
        <v>0.042986413971504663</v>
      </c>
      <c r="BP755" s="1035">
        <f ca="1">BP699/AVERAGE(BO961,BP961)</f>
        <v>0.043853524250414076</v>
      </c>
      <c r="BQ755" s="1035">
        <f ca="1">BQ699/AVERAGE(BP961,BQ961)</f>
        <v>0.042373948215346832</v>
      </c>
      <c r="BR755" s="1035">
        <f ca="1">BR699/AVERAGE(BQ961,BR961)</f>
        <v>0.041108862257181418</v>
      </c>
      <c r="BS755" s="54"/>
    </row>
    <row r="756" spans="1:71" s="32" customFormat="1" ht="15">
      <c r="A756" s="41" t="s">
        <v>307</v>
      </c>
      <c r="B756" s="521"/>
      <c r="C756" s="1035"/>
      <c r="D756" s="1036">
        <f>D699/AVERAGE(C748,D748)</f>
        <v>0.08717324194964457</v>
      </c>
      <c r="E756" s="1036">
        <f>E699/AVERAGE(D748,E748)</f>
        <v>0.035866179060002709</v>
      </c>
      <c r="F756" s="1036">
        <f>F699/AVERAGE(E748,F748)</f>
        <v>0.11049951129173312</v>
      </c>
      <c r="G756" s="1036">
        <f>G699/AVERAGE(F748,G748)</f>
        <v>0.12936046511627908</v>
      </c>
      <c r="H756" s="54">
        <f>(H699*(L$3/H$3))/AVERAGE(G748,H748)</f>
        <v>0.11548022598870056</v>
      </c>
      <c r="I756" s="54">
        <f>(I699*(L$3/I$3))/AVERAGE(H748,I748)</f>
        <v>0.085552897948047255</v>
      </c>
      <c r="J756" s="54">
        <f>(J699*(L$3/J$3))/AVERAGE(I748,J748)</f>
        <v>0.11376441535400034</v>
      </c>
      <c r="K756" s="54">
        <f>(K699*(L$3/K$3))/AVERAGE(J748,K748)</f>
        <v>0.14195085194817822</v>
      </c>
      <c r="L756" s="1036">
        <f>L699/AVERAGE(G748,H748,I748,J748,K748)</f>
        <v>0.11427385170952137</v>
      </c>
      <c r="M756" s="54">
        <f>(M699*(Q$3/M$3))/AVERAGE(L748,M748)</f>
        <v>0.12189125526199518</v>
      </c>
      <c r="N756" s="54">
        <f>(N699*(Q$3/N$3))/AVERAGE(M748,N748)</f>
        <v>0.052563667419238257</v>
      </c>
      <c r="O756" s="54">
        <f>(O699*(Q$3/O$3))/AVERAGE(N748,O748)</f>
        <v>0.12634344534858649</v>
      </c>
      <c r="P756" s="54">
        <f>(P699*(Q$3/P$3))/AVERAGE(O748,P748)</f>
        <v>0.13389959042132957</v>
      </c>
      <c r="Q756" s="1036">
        <f>Q699/AVERAGE(L748,M748,N748,O748,P748)</f>
        <v>0.10827013732322197</v>
      </c>
      <c r="R756" s="54">
        <f>(R699*(V$3/R$3))/AVERAGE(Q748,R748)</f>
        <v>0.070245270147637734</v>
      </c>
      <c r="S756" s="54">
        <f>(S699*(V$3/S$3))/AVERAGE(R748,S748)</f>
        <v>0.050542222676657582</v>
      </c>
      <c r="T756" s="54">
        <f>(T699*(V$3/T$3))/AVERAGE(S748,T748)</f>
        <v>0.099260200140750779</v>
      </c>
      <c r="U756" s="54">
        <f>(U699*(V$3/U$3))/AVERAGE(T748,U748)</f>
        <v>0.16890472296404738</v>
      </c>
      <c r="V756" s="1036">
        <f>V699/AVERAGE(Q748,R748,S748,T748,U748)</f>
        <v>0.098084209402849676</v>
      </c>
      <c r="W756" s="54">
        <f>(W699*(AA$3/W$3))/AVERAGE(V748,W748)</f>
        <v>0.12896664545504735</v>
      </c>
      <c r="X756" s="54">
        <f>(X699*(AA$3/X$3))/AVERAGE(W748,X748)</f>
        <v>0.10445550568613352</v>
      </c>
      <c r="Y756" s="54">
        <f>(Y699*(AA$3/Y$3))/AVERAGE(X748,Y748)</f>
        <v>0.11607150596352542</v>
      </c>
      <c r="Z756" s="54">
        <f>(Z699*(AA$3/Z$3))/AVERAGE(Y748,Z748)</f>
        <v>0.14683336606503683</v>
      </c>
      <c r="AA756" s="1036">
        <f>AA699/AVERAGE(V748,W748,X748,Y748,Z748)</f>
        <v>0.12437986528455612</v>
      </c>
      <c r="AB756" s="54">
        <f>(AB699*(AF$3/AB$3))/AVERAGE(AA748,AB748)</f>
        <v>0.20695671137280555</v>
      </c>
      <c r="AC756" s="54">
        <f>(AC699*(AF$3/AC$3))/AVERAGE(AB748,AC748)</f>
        <v>0.12956320830845272</v>
      </c>
      <c r="AD756" s="54">
        <f>(AD699*(AF$3/AD$3))/AVERAGE(AC748,AD748)</f>
        <v>0.12801376483221533</v>
      </c>
      <c r="AE756" s="54">
        <f>(AE699*(AF$3/AE$3))/AVERAGE(AD748,AE748)</f>
        <v>0.08380714584739464</v>
      </c>
      <c r="AF756" s="1036">
        <f>AF699/AVERAGE(AA748,AB748,AC748,AD748,AE748)</f>
        <v>0.13798277030297165</v>
      </c>
      <c r="AG756" s="54">
        <f>(AG699*(AK$3/AG$3))/AVERAGE(AF748,AG748)</f>
        <v>0.15400592665089849</v>
      </c>
      <c r="AH756" s="54">
        <f>(AH699*(AK$3/AH$3))/AVERAGE(AG748,AH748)</f>
        <v>0.13390002829981026</v>
      </c>
      <c r="AI756" s="54">
        <f>(AI699*(AK$3/AI$3))/AVERAGE(AH748,AI748)</f>
        <v>0.16448929192764358</v>
      </c>
      <c r="AJ756" s="54">
        <f>(AJ699*(AK$3/AJ$3))/AVERAGE(AI748,AJ748)</f>
        <v>0.1727972642057638</v>
      </c>
      <c r="AK756" s="1036">
        <f>AK699/AVERAGE(AF748,AG748,AH748,AI748,AJ748)</f>
        <v>0.15768135396448202</v>
      </c>
      <c r="AL756" s="54">
        <f>(AL699*(AP$3/AL$3))/AVERAGE(AK748,AL748)</f>
        <v>0.210407049916984</v>
      </c>
      <c r="AM756" s="54">
        <f>(AM699*(AP$3/AM$3))/AVERAGE(AL748,AM748)</f>
        <v>0.13900904576268308</v>
      </c>
      <c r="AN756" s="54">
        <f>(AN699*(AP$3/AN$3))/AVERAGE(AM748,AN748)</f>
        <v>0.14233774404614266</v>
      </c>
      <c r="AO756" s="54">
        <f>(AO699*(AP$3/AO$3))/AVERAGE(AN748,AO748)</f>
        <v>0.23688262331292328</v>
      </c>
      <c r="AP756" s="1036">
        <f>AP699/AVERAGE(AK748,AL748,AM748,AN748,AO748)</f>
        <v>0.18119172108040382</v>
      </c>
      <c r="AQ756" s="54">
        <f>(AQ699*(AU$3/AQ$3))/AVERAGE(AP748,AQ748)</f>
        <v>0.28690050077300533</v>
      </c>
      <c r="AR756" s="54">
        <f>(AR699*(AU$3/AR$3))/AVERAGE(AQ748,AR748)</f>
        <v>0.18185007195779401</v>
      </c>
      <c r="AS756" s="54">
        <f>(AS699*(AU$3/AS$3))/AVERAGE(AR748,AS748)</f>
        <v>0.033897311325438155</v>
      </c>
      <c r="AT756" s="54">
        <f>(AT699*(AU$3/AT$3))/AVERAGE(AS748,AT748)</f>
        <v>0.13167292687878876</v>
      </c>
      <c r="AU756" s="1036">
        <f>AU699/AVERAGE(AP748,AQ748,AR748,AS748,AT748)</f>
        <v>0.15890339713635038</v>
      </c>
      <c r="AV756" s="54">
        <f>(AV699*(AZ$3/AV$3))/AVERAGE(AU748,AV748)</f>
        <v>0.13320535221054894</v>
      </c>
      <c r="AW756" s="54">
        <f>(AW699*(AZ$3/AW$3))/AVERAGE(AV748,AW748)</f>
        <v>-0.042159835746552174</v>
      </c>
      <c r="AX756" s="54">
        <f>(AX699*(AZ$3/AX$3))/AVERAGE(AW748,AX748)</f>
        <v>-0.096348252545908564</v>
      </c>
      <c r="AY756" s="54">
        <f>(AY699*(AZ$3/AY$3))/AVERAGE(AX748,AY748)</f>
        <v>-0.089243421419257049</v>
      </c>
      <c r="AZ756" s="1036">
        <f>AZ699/AVERAGE(AU748,AV748,AW748,AX748,AY748)</f>
        <v>-0.012739328813270223</v>
      </c>
      <c r="BA756" s="54">
        <f>(BA699*(BE$3/BA$3))/AVERAGE(AZ748,BA748)</f>
        <v>-0.089400238486577077</v>
      </c>
      <c r="BB756" s="54">
        <f>(BB699*(BE$3/BB$3))/AVERAGE(BA748,BB748)</f>
        <v>-0.32098961644416191</v>
      </c>
      <c r="BC756" s="54">
        <f>(BC699*(BE$3/BC$3))/AVERAGE(BB748,BC748)</f>
        <v>0.065039201710620095</v>
      </c>
      <c r="BD756" s="54">
        <f>(BD699*(BE$3/BD$3))/AVERAGE(BC748,BD748)</f>
        <v>0.43113783011882517</v>
      </c>
      <c r="BE756" s="1036">
        <f>BE699/AVERAGE(AZ748,BA748,BB748,BC748,BD748)</f>
        <v>0.01721394672592105</v>
      </c>
      <c r="BF756" s="54">
        <f>(BF699*(BJ$3/BF$3))/AVERAGE(BE748,BF748)</f>
        <v>0.33931212121109366</v>
      </c>
      <c r="BG756" s="54">
        <f>(BG699*(BJ$3/BG$3))/AVERAGE(BF748,BG748)</f>
        <v>0.10384764197583939</v>
      </c>
      <c r="BH756" s="754">
        <f>(BH699*(BJ$3/BH$3))/AVERAGE(BG748,BH748)</f>
        <v>0.23509740562221429</v>
      </c>
      <c r="BI756" s="221">
        <f ca="1">(BI699*(BJ$3/BI$3))/AVERAGE(BH748,BI748)</f>
        <v>0.26519248086781338</v>
      </c>
      <c r="BJ756" s="1035">
        <f ca="1">BJ699/AVERAGE(BE748,BF748,BG748,BH748,BI748)</f>
        <v>0.23557305814235863</v>
      </c>
      <c r="BK756" s="221">
        <f ca="1">(BK699*(BO$3/BK$3))/AVERAGE(BJ748,BK748)</f>
        <v>0.27827276592933298</v>
      </c>
      <c r="BL756" s="221">
        <f ca="1">(BL699*(BO$3/BL$3))/AVERAGE(BK748,BL748)</f>
        <v>0.15337128183716031</v>
      </c>
      <c r="BM756" s="221">
        <f ca="1">(BM699*(BO$3/BM$3))/AVERAGE(BL748,BM748)</f>
        <v>0.20884285759836169</v>
      </c>
      <c r="BN756" s="221">
        <f ca="1">(BN699*(BO$3/BN$3))/AVERAGE(BM748,BN748)</f>
        <v>0.27579803338623404</v>
      </c>
      <c r="BO756" s="1035">
        <f ca="1">BO699/AVERAGE(BJ748,BK748,BL748,BM748,BN748)</f>
        <v>0.22921930123739678</v>
      </c>
      <c r="BP756" s="1035">
        <f ca="1">BP699/AVERAGE(BO748,BP748)</f>
        <v>0.20407422626648422</v>
      </c>
      <c r="BQ756" s="1035">
        <f ca="1">BQ699/AVERAGE(BP748,BQ748)</f>
        <v>0.17782842882469516</v>
      </c>
      <c r="BR756" s="1035">
        <f ca="1">BR699/AVERAGE(BQ748,BR748)</f>
        <v>0.15835621864444221</v>
      </c>
      <c r="BS756" s="54"/>
    </row>
    <row r="757" spans="1:71" s="216" customFormat="1" ht="15">
      <c r="A757" s="213" t="str">
        <f>CONCATENATE("Consensus Estimates - ",IFERROR(LEFT(A756,FIND("(",A756)-1),A756))</f>
        <v>Consensus Estimates - Return on Average Common Equity, %</v>
      </c>
      <c r="B757" s="236"/>
      <c r="C757" s="1074"/>
      <c r="D757" s="1074"/>
      <c r="E757" s="1074"/>
      <c r="F757" s="1074"/>
      <c r="G757" s="1074"/>
      <c r="H757" s="215"/>
      <c r="I757" s="215"/>
      <c r="J757" s="215"/>
      <c r="K757" s="215"/>
      <c r="L757" s="1074"/>
      <c r="M757" s="215"/>
      <c r="N757" s="215"/>
      <c r="O757" s="215"/>
      <c r="P757" s="215"/>
      <c r="Q757" s="1074"/>
      <c r="R757" s="215"/>
      <c r="S757" s="215"/>
      <c r="T757" s="215"/>
      <c r="U757" s="215"/>
      <c r="V757" s="1074"/>
      <c r="W757" s="215"/>
      <c r="X757" s="215"/>
      <c r="Y757" s="215"/>
      <c r="Z757" s="215"/>
      <c r="AA757" s="1074"/>
      <c r="AB757" s="215"/>
      <c r="AC757" s="215"/>
      <c r="AD757" s="215"/>
      <c r="AE757" s="215"/>
      <c r="AF757" s="1074"/>
      <c r="AG757" s="215"/>
      <c r="AH757" s="215"/>
      <c r="AI757" s="215"/>
      <c r="AJ757" s="215"/>
      <c r="AK757" s="1074"/>
      <c r="AL757" s="215"/>
      <c r="AM757" s="215"/>
      <c r="AN757" s="215"/>
      <c r="AO757" s="215"/>
      <c r="AP757" s="1074"/>
      <c r="AQ757" s="215"/>
      <c r="AR757" s="215"/>
      <c r="AS757" s="215"/>
      <c r="AT757" s="215"/>
      <c r="AU757" s="1074"/>
      <c r="AV757" s="215"/>
      <c r="AW757" s="215"/>
      <c r="AX757" s="215"/>
      <c r="AY757" s="215"/>
      <c r="AZ757" s="1074"/>
      <c r="BA757" s="215"/>
      <c r="BB757" s="215"/>
      <c r="BC757" s="215"/>
      <c r="BD757" s="215"/>
      <c r="BE757" s="1074"/>
      <c r="BF757" s="215"/>
      <c r="BG757" s="215"/>
      <c r="BH757" s="773"/>
      <c r="BI757" s="251" t="str">
        <f ca="1" t="shared" si="2254" ref="BI757:BO757">IFERROR(VLOOKUP($A757,tb_ConsensusEstimate,MATCH(BI$5,OFFSET(tb_ConsensusEstimate,0,0,1,COLUMNS(tb_ConsensusEstimate)),0),FALSE),"-")</f>
        <v>N/A</v>
      </c>
      <c r="BJ757" s="1075" t="str">
        <f t="shared" ca="1" si="2254"/>
        <v>N/A</v>
      </c>
      <c r="BK757" s="251" t="str">
        <f t="shared" ca="1" si="2254"/>
        <v>N/A</v>
      </c>
      <c r="BL757" s="251" t="str">
        <f t="shared" ca="1" si="2254"/>
        <v>N/A</v>
      </c>
      <c r="BM757" s="251" t="str">
        <f t="shared" ca="1" si="2254"/>
        <v>N/A</v>
      </c>
      <c r="BN757" s="251" t="str">
        <f t="shared" ca="1" si="2254"/>
        <v>N/A</v>
      </c>
      <c r="BO757" s="1075" t="str">
        <f t="shared" ca="1" si="2254"/>
        <v>N/A</v>
      </c>
      <c r="BP757" s="1075" t="str">
        <f ca="1">IFERROR(VLOOKUP($A757,tb_ConsensusEstimate,MATCH(BP5,OFFSET(tb_ConsensusEstimate,0,0,1,COLUMNS(tb_ConsensusEstimate)),0),FALSE),"-")</f>
        <v>N/A</v>
      </c>
      <c r="BQ757" s="1075" t="str">
        <f ca="1">IFERROR(VLOOKUP($A757,tb_ConsensusEstimate,MATCH(BQ5,OFFSET(tb_ConsensusEstimate,0,0,1,COLUMNS(tb_ConsensusEstimate)),0),FALSE),"-")</f>
        <v>N/A</v>
      </c>
      <c r="BR757" s="1075" t="str">
        <f ca="1">IFERROR(VLOOKUP($A757,tb_ConsensusEstimate,MATCH(BR5,OFFSET(tb_ConsensusEstimate,0,0,1,COLUMNS(tb_ConsensusEstimate)),0),FALSE),"-")</f>
        <v>N/A</v>
      </c>
      <c r="BS757" s="215"/>
    </row>
    <row r="758" spans="1:71" s="32" customFormat="1" ht="15">
      <c r="A758" s="41" t="s">
        <v>308</v>
      </c>
      <c r="B758" s="521"/>
      <c r="C758" s="1035"/>
      <c r="D758" s="1036">
        <f>D699/AVERAGE(C749,D749)</f>
        <v>0.08717324194964457</v>
      </c>
      <c r="E758" s="1036">
        <f>E699/AVERAGE(D749,E749)</f>
        <v>0.035866179060002709</v>
      </c>
      <c r="F758" s="1036">
        <f>F699/AVERAGE(E749,F749)</f>
        <v>0.11049951129173312</v>
      </c>
      <c r="G758" s="1036">
        <f>G699/AVERAGE(F749,G749)</f>
        <v>0.12936046511627908</v>
      </c>
      <c r="H758" s="54">
        <f>(H699*(L$3/H$3))/AVERAGE(G749,H749)</f>
        <v>0.11548022598870056</v>
      </c>
      <c r="I758" s="54">
        <f>(I699*(L$3/I$3))/AVERAGE(H749,I749)</f>
        <v>0.085552897948047255</v>
      </c>
      <c r="J758" s="54">
        <f>(J699*(L$3/J$3))/AVERAGE(I749,J749)</f>
        <v>0.11376441535400034</v>
      </c>
      <c r="K758" s="54">
        <f>(K699*(L$3/K$3))/AVERAGE(J749,K749)</f>
        <v>0.14195085194817822</v>
      </c>
      <c r="L758" s="1036">
        <f>L699/AVERAGE(G749,H749,I749,J749,K749)</f>
        <v>0.11427385170952137</v>
      </c>
      <c r="M758" s="54">
        <f>(M699*(Q$3/M$3))/AVERAGE(L749,M749)</f>
        <v>0.12189125526199518</v>
      </c>
      <c r="N758" s="54">
        <f>(N699*(Q$3/N$3))/AVERAGE(M749,N749)</f>
        <v>0.052563667419238257</v>
      </c>
      <c r="O758" s="54">
        <f>(O699*(Q$3/O$3))/AVERAGE(N749,O749)</f>
        <v>0.12634344534858649</v>
      </c>
      <c r="P758" s="54">
        <f>(P699*(Q$3/P$3))/AVERAGE(O749,P749)</f>
        <v>0.13389959042132957</v>
      </c>
      <c r="Q758" s="1036">
        <f>Q699/AVERAGE(L749,M749,N749,O749,P749)</f>
        <v>0.10827013732322197</v>
      </c>
      <c r="R758" s="54">
        <f>(R699*(V$3/R$3))/AVERAGE(Q749,R749)</f>
        <v>0.070245270147637734</v>
      </c>
      <c r="S758" s="54">
        <f>(S699*(V$3/S$3))/AVERAGE(R749,S749)</f>
        <v>0.050542222676657582</v>
      </c>
      <c r="T758" s="54">
        <f>(T699*(V$3/T$3))/AVERAGE(S749,T749)</f>
        <v>0.099260200140750779</v>
      </c>
      <c r="U758" s="54">
        <f>(U699*(V$3/U$3))/AVERAGE(T749,U749)</f>
        <v>0.16890472296404738</v>
      </c>
      <c r="V758" s="1036">
        <f>V699/AVERAGE(Q749,R749,S749,T749,U749)</f>
        <v>0.098084209402849676</v>
      </c>
      <c r="W758" s="54">
        <f>(W699*(AA$3/W$3))/AVERAGE(V749,W749)</f>
        <v>0.12896664545504735</v>
      </c>
      <c r="X758" s="54">
        <f>(X699*(AA$3/X$3))/AVERAGE(W749,X749)</f>
        <v>0.10445550568613352</v>
      </c>
      <c r="Y758" s="54">
        <f>(Y699*(AA$3/Y$3))/AVERAGE(X749,Y749)</f>
        <v>0.11607150596352542</v>
      </c>
      <c r="Z758" s="54">
        <f>(Z699*(AA$3/Z$3))/AVERAGE(Y749,Z749)</f>
        <v>0.14683336606503683</v>
      </c>
      <c r="AA758" s="1036">
        <f>AA699/AVERAGE(V749,W749,X749,Y749,Z749)</f>
        <v>0.12437986528455612</v>
      </c>
      <c r="AB758" s="54">
        <f>(AB699*(AF$3/AB$3))/AVERAGE(AA749,AB749)</f>
        <v>0.20695671137280555</v>
      </c>
      <c r="AC758" s="54">
        <f>(AC699*(AF$3/AC$3))/AVERAGE(AB749,AC749)</f>
        <v>0.12956320830845272</v>
      </c>
      <c r="AD758" s="54">
        <f>(AD699*(AF$3/AD$3))/AVERAGE(AC749,AD749)</f>
        <v>0.12801376483221533</v>
      </c>
      <c r="AE758" s="54">
        <f>(AE699*(AF$3/AE$3))/AVERAGE(AD749,AE749)</f>
        <v>0.08380714584739464</v>
      </c>
      <c r="AF758" s="1036">
        <f>AF699/AVERAGE(AA749,AB749,AC749,AD749,AE749)</f>
        <v>0.13798277030297165</v>
      </c>
      <c r="AG758" s="54">
        <f>(AG699*(AK$3/AG$3))/AVERAGE(AF749,AG749)</f>
        <v>0.15400592665089849</v>
      </c>
      <c r="AH758" s="54">
        <f>(AH699*(AK$3/AH$3))/AVERAGE(AG749,AH749)</f>
        <v>0.13390002829981026</v>
      </c>
      <c r="AI758" s="54">
        <f>(AI699*(AK$3/AI$3))/AVERAGE(AH749,AI749)</f>
        <v>0.16448929192764358</v>
      </c>
      <c r="AJ758" s="54">
        <f>(AJ699*(AK$3/AJ$3))/AVERAGE(AI749,AJ749)</f>
        <v>0.1727972642057638</v>
      </c>
      <c r="AK758" s="1036">
        <f>AK699/AVERAGE(AF749,AG749,AH749,AI749,AJ749)</f>
        <v>0.15768135396448202</v>
      </c>
      <c r="AL758" s="54">
        <f>(AL699*(AP$3/AL$3))/AVERAGE(AK749,AL749)</f>
        <v>0.210407049916984</v>
      </c>
      <c r="AM758" s="54">
        <f>(AM699*(AP$3/AM$3))/AVERAGE(AL749,AM749)</f>
        <v>0.13900904576268308</v>
      </c>
      <c r="AN758" s="54">
        <f>(AN699*(AP$3/AN$3))/AVERAGE(AM749,AN749)</f>
        <v>0.14233774404614266</v>
      </c>
      <c r="AO758" s="54">
        <f>(AO699*(AP$3/AO$3))/AVERAGE(AN749,AO749)</f>
        <v>0.23688262331292328</v>
      </c>
      <c r="AP758" s="1036">
        <f>AP699/AVERAGE(AK749,AL749,AM749,AN749,AO749)</f>
        <v>0.18119172108040382</v>
      </c>
      <c r="AQ758" s="54">
        <f>(AQ699*(AU$3/AQ$3))/AVERAGE(AP749,AQ749)</f>
        <v>0.28690050077300533</v>
      </c>
      <c r="AR758" s="54">
        <f>(AR699*(AU$3/AR$3))/AVERAGE(AQ749,AR749)</f>
        <v>0.18185007195779401</v>
      </c>
      <c r="AS758" s="54">
        <f>(AS699*(AU$3/AS$3))/AVERAGE(AR749,AS749)</f>
        <v>0.033897311325438155</v>
      </c>
      <c r="AT758" s="54">
        <f>(AT699*(AU$3/AT$3))/AVERAGE(AS749,AT749)</f>
        <v>0.13167292687878876</v>
      </c>
      <c r="AU758" s="1036">
        <f>AU699/AVERAGE(AP749,AQ749,AR749,AS749,AT749)</f>
        <v>0.15890339713635038</v>
      </c>
      <c r="AV758" s="54">
        <f>(AV699*(AZ$3/AV$3))/AVERAGE(AU749,AV749)</f>
        <v>0.13320535221054894</v>
      </c>
      <c r="AW758" s="54">
        <f>(AW699*(AZ$3/AW$3))/AVERAGE(AV749,AW749)</f>
        <v>-0.042159835746552174</v>
      </c>
      <c r="AX758" s="54">
        <f>(AX699*(AZ$3/AX$3))/AVERAGE(AW749,AX749)</f>
        <v>-0.096348252545908564</v>
      </c>
      <c r="AY758" s="54">
        <f>(AY699*(AZ$3/AY$3))/AVERAGE(AX749,AY749)</f>
        <v>-0.089243421419257049</v>
      </c>
      <c r="AZ758" s="1036">
        <f>AZ699/AVERAGE(AU749,AV749,AW749,AX749,AY749)</f>
        <v>-0.012739328813270223</v>
      </c>
      <c r="BA758" s="54">
        <f>(BA699*(BE$3/BA$3))/AVERAGE(AZ749,BA749)</f>
        <v>-0.089400238486577077</v>
      </c>
      <c r="BB758" s="54">
        <f>(BB699*(BE$3/BB$3))/AVERAGE(BA749,BB749)</f>
        <v>-0.32098961644416191</v>
      </c>
      <c r="BC758" s="54">
        <f>(BC699*(BE$3/BC$3))/AVERAGE(BB749,BC749)</f>
        <v>0.065039201710620095</v>
      </c>
      <c r="BD758" s="54">
        <f>(BD699*(BE$3/BD$3))/AVERAGE(BC749,BD749)</f>
        <v>0.43113783011882517</v>
      </c>
      <c r="BE758" s="1036">
        <f>BE699/AVERAGE(AZ749,BA749,BB749,BC749,BD749)</f>
        <v>0.01721394672592105</v>
      </c>
      <c r="BF758" s="54">
        <f>(BF699*(BJ$3/BF$3))/AVERAGE(BE749,BF749)</f>
        <v>0.33931212121109366</v>
      </c>
      <c r="BG758" s="54">
        <f>(BG699*(BJ$3/BG$3))/AVERAGE(BF749,BG749)</f>
        <v>0.10384764197583939</v>
      </c>
      <c r="BH758" s="754">
        <f>(BH699*(BJ$3/BH$3))/AVERAGE(BG749,BH749)</f>
        <v>0.23509740562221429</v>
      </c>
      <c r="BI758" s="221">
        <f ca="1">(BI699*(BJ$3/BI$3))/AVERAGE(BH749,BI749)</f>
        <v>0.26519248086781338</v>
      </c>
      <c r="BJ758" s="1035">
        <f ca="1">BJ699/AVERAGE(BE749,BF749,BG749,BH749,BI749)</f>
        <v>0.23557305814235863</v>
      </c>
      <c r="BK758" s="221">
        <f ca="1">(BK699*(BO$3/BK$3))/AVERAGE(BJ749,BK749)</f>
        <v>0.27827276592933298</v>
      </c>
      <c r="BL758" s="221">
        <f ca="1">(BL699*(BO$3/BL$3))/AVERAGE(BK749,BL749)</f>
        <v>0.15337128183716031</v>
      </c>
      <c r="BM758" s="221">
        <f ca="1">(BM699*(BO$3/BM$3))/AVERAGE(BL749,BM749)</f>
        <v>0.20884285759836169</v>
      </c>
      <c r="BN758" s="221">
        <f ca="1">(BN699*(BO$3/BN$3))/AVERAGE(BM749,BN749)</f>
        <v>0.27579803338623404</v>
      </c>
      <c r="BO758" s="1035">
        <f ca="1">BO699/AVERAGE(BJ749,BK749,BL749,BM749,BN749)</f>
        <v>0.22921930123739678</v>
      </c>
      <c r="BP758" s="1035">
        <f ca="1">BP699/AVERAGE(BO749,BP749)</f>
        <v>0.20407422626648422</v>
      </c>
      <c r="BQ758" s="1035">
        <f ca="1">BQ699/AVERAGE(BP749,BQ749)</f>
        <v>0.17782842882469516</v>
      </c>
      <c r="BR758" s="1035">
        <f ca="1">BR699/AVERAGE(BQ749,BR749)</f>
        <v>0.15835621864444221</v>
      </c>
      <c r="BS758" s="54"/>
    </row>
    <row r="759" spans="1:71" ht="15">
      <c r="A759" s="522"/>
      <c r="B759" s="522"/>
      <c r="C759" s="1076"/>
      <c r="D759" s="1076"/>
      <c r="E759" s="1076"/>
      <c r="F759" s="1076"/>
      <c r="G759" s="1076"/>
      <c r="H759" s="472"/>
      <c r="I759" s="472"/>
      <c r="J759" s="472"/>
      <c r="K759" s="472"/>
      <c r="L759" s="1076"/>
      <c r="M759" s="472"/>
      <c r="N759" s="472"/>
      <c r="O759" s="472"/>
      <c r="P759" s="472"/>
      <c r="Q759" s="1076"/>
      <c r="R759" s="472"/>
      <c r="S759" s="472"/>
      <c r="T759" s="472"/>
      <c r="U759" s="472"/>
      <c r="V759" s="1076"/>
      <c r="W759" s="472"/>
      <c r="X759" s="472"/>
      <c r="Y759" s="472"/>
      <c r="Z759" s="472"/>
      <c r="AA759" s="1076"/>
      <c r="AB759" s="472"/>
      <c r="AC759" s="472"/>
      <c r="AD759" s="472"/>
      <c r="AE759" s="472"/>
      <c r="AF759" s="1076"/>
      <c r="AG759" s="472"/>
      <c r="AH759" s="472"/>
      <c r="AI759" s="472"/>
      <c r="AJ759" s="472"/>
      <c r="AK759" s="1076"/>
      <c r="AL759" s="472"/>
      <c r="AM759" s="472"/>
      <c r="AN759" s="472"/>
      <c r="AO759" s="472"/>
      <c r="AP759" s="1076"/>
      <c r="AQ759" s="472"/>
      <c r="AR759" s="472"/>
      <c r="AS759" s="472"/>
      <c r="AT759" s="472"/>
      <c r="AU759" s="1076"/>
      <c r="AV759" s="472"/>
      <c r="AW759" s="472"/>
      <c r="AX759" s="472"/>
      <c r="AY759" s="472"/>
      <c r="AZ759" s="1076"/>
      <c r="BA759" s="472"/>
      <c r="BB759" s="472"/>
      <c r="BC759" s="472"/>
      <c r="BD759" s="472"/>
      <c r="BE759" s="1076"/>
      <c r="BF759" s="472"/>
      <c r="BG759" s="472"/>
      <c r="BH759" s="473"/>
      <c r="BI759" s="472"/>
      <c r="BJ759" s="1076"/>
      <c r="BK759" s="472"/>
      <c r="BL759" s="472"/>
      <c r="BM759" s="472"/>
      <c r="BN759" s="472"/>
      <c r="BO759" s="1076"/>
      <c r="BP759" s="1076"/>
      <c r="BQ759" s="1076"/>
      <c r="BR759" s="1076"/>
      <c r="BS759" s="303"/>
    </row>
    <row r="760" spans="1:71" s="17" customFormat="1" ht="15">
      <c r="A760" s="428" t="s">
        <v>639</v>
      </c>
      <c r="B760" s="818"/>
      <c r="C760" s="837"/>
      <c r="D760" s="837"/>
      <c r="E760" s="837"/>
      <c r="F760" s="837"/>
      <c r="G760" s="837"/>
      <c r="H760" s="837"/>
      <c r="I760" s="837"/>
      <c r="J760" s="837"/>
      <c r="K760" s="837"/>
      <c r="L760" s="837"/>
      <c r="M760" s="837"/>
      <c r="N760" s="837"/>
      <c r="O760" s="837"/>
      <c r="P760" s="837"/>
      <c r="Q760" s="837"/>
      <c r="R760" s="837"/>
      <c r="S760" s="837"/>
      <c r="T760" s="837"/>
      <c r="U760" s="837"/>
      <c r="V760" s="837"/>
      <c r="W760" s="837"/>
      <c r="X760" s="837"/>
      <c r="Y760" s="837"/>
      <c r="Z760" s="837"/>
      <c r="AA760" s="837"/>
      <c r="AB760" s="837"/>
      <c r="AC760" s="837"/>
      <c r="AD760" s="837"/>
      <c r="AE760" s="837"/>
      <c r="AF760" s="837"/>
      <c r="AG760" s="837"/>
      <c r="AH760" s="837"/>
      <c r="AI760" s="837"/>
      <c r="AJ760" s="837"/>
      <c r="AK760" s="837"/>
      <c r="AL760" s="837"/>
      <c r="AM760" s="837"/>
      <c r="AN760" s="837"/>
      <c r="AO760" s="837"/>
      <c r="AP760" s="837"/>
      <c r="AQ760" s="837"/>
      <c r="AR760" s="837"/>
      <c r="AS760" s="837"/>
      <c r="AT760" s="837"/>
      <c r="AU760" s="837"/>
      <c r="AV760" s="837"/>
      <c r="AW760" s="837"/>
      <c r="AX760" s="837"/>
      <c r="AY760" s="837"/>
      <c r="AZ760" s="837"/>
      <c r="BA760" s="837"/>
      <c r="BB760" s="837"/>
      <c r="BC760" s="837"/>
      <c r="BD760" s="837"/>
      <c r="BE760" s="837"/>
      <c r="BF760" s="837"/>
      <c r="BG760" s="837"/>
      <c r="BH760" s="838"/>
      <c r="BI760" s="837"/>
      <c r="BJ760" s="837"/>
      <c r="BK760" s="837"/>
      <c r="BL760" s="837"/>
      <c r="BM760" s="837"/>
      <c r="BN760" s="837"/>
      <c r="BO760" s="837"/>
      <c r="BP760" s="837"/>
      <c r="BQ760" s="837"/>
      <c r="BR760" s="837"/>
      <c r="BS760" s="457"/>
    </row>
    <row r="761" spans="1:71" s="300" customFormat="1" ht="15">
      <c r="A761" s="429" t="s">
        <v>640</v>
      </c>
      <c r="B761" s="166"/>
      <c r="C761" s="989"/>
      <c r="D761" s="989"/>
      <c r="E761" s="989"/>
      <c r="F761" s="989"/>
      <c r="G761" s="989"/>
      <c r="H761" s="92"/>
      <c r="I761" s="92"/>
      <c r="J761" s="92"/>
      <c r="K761" s="92"/>
      <c r="L761" s="989"/>
      <c r="M761" s="92"/>
      <c r="N761" s="92"/>
      <c r="O761" s="92"/>
      <c r="P761" s="92"/>
      <c r="Q761" s="989"/>
      <c r="R761" s="92"/>
      <c r="S761" s="92"/>
      <c r="T761" s="92"/>
      <c r="U761" s="92"/>
      <c r="V761" s="989"/>
      <c r="W761" s="92"/>
      <c r="X761" s="92"/>
      <c r="Y761" s="92"/>
      <c r="Z761" s="92"/>
      <c r="AA761" s="989"/>
      <c r="AB761" s="92"/>
      <c r="AC761" s="92"/>
      <c r="AD761" s="92"/>
      <c r="AE761" s="92"/>
      <c r="AF761" s="989"/>
      <c r="AG761" s="92"/>
      <c r="AH761" s="92"/>
      <c r="AI761" s="92"/>
      <c r="AJ761" s="92"/>
      <c r="AK761" s="989"/>
      <c r="AL761" s="92"/>
      <c r="AM761" s="92"/>
      <c r="AN761" s="92"/>
      <c r="AO761" s="92"/>
      <c r="AP761" s="989"/>
      <c r="AQ761" s="92"/>
      <c r="AR761" s="92"/>
      <c r="AS761" s="92"/>
      <c r="AT761" s="92"/>
      <c r="AU761" s="989"/>
      <c r="AV761" s="92"/>
      <c r="AW761" s="92"/>
      <c r="AX761" s="92"/>
      <c r="AY761" s="92"/>
      <c r="AZ761" s="989"/>
      <c r="BA761" s="92"/>
      <c r="BB761" s="92"/>
      <c r="BC761" s="92"/>
      <c r="BD761" s="92"/>
      <c r="BE761" s="989"/>
      <c r="BF761" s="92"/>
      <c r="BG761" s="92"/>
      <c r="BH761" s="464"/>
      <c r="BI761" s="92"/>
      <c r="BJ761" s="989"/>
      <c r="BK761" s="92"/>
      <c r="BL761" s="92"/>
      <c r="BM761" s="92"/>
      <c r="BN761" s="92"/>
      <c r="BO761" s="989"/>
      <c r="BP761" s="989"/>
      <c r="BQ761" s="989"/>
      <c r="BR761" s="989"/>
      <c r="BS761" s="305"/>
    </row>
    <row r="762" spans="1:71" s="300" customFormat="1" ht="15">
      <c r="A762" s="430" t="s">
        <v>190</v>
      </c>
      <c r="B762" s="395"/>
      <c r="C762" s="998">
        <f t="shared" si="2255" ref="C762:AK762">C971</f>
        <v>5910</v>
      </c>
      <c r="D762" s="998">
        <f t="shared" si="2255"/>
        <v>5908</v>
      </c>
      <c r="E762" s="998">
        <f t="shared" si="2255"/>
        <v>5908</v>
      </c>
      <c r="F762" s="998">
        <f t="shared" si="2255"/>
        <v>6057</v>
      </c>
      <c r="G762" s="998">
        <f t="shared" si="2255"/>
        <v>6201</v>
      </c>
      <c r="H762" s="58">
        <f t="shared" si="2255"/>
        <v>6200</v>
      </c>
      <c r="I762" s="58">
        <f t="shared" si="2255"/>
        <v>5846</v>
      </c>
      <c r="J762" s="58">
        <f t="shared" si="2255"/>
        <v>5195</v>
      </c>
      <c r="K762" s="58">
        <f t="shared" si="2255"/>
        <v>5140</v>
      </c>
      <c r="L762" s="998">
        <f t="shared" si="2255"/>
        <v>5140</v>
      </c>
      <c r="M762" s="58">
        <f t="shared" si="2255"/>
        <v>5194</v>
      </c>
      <c r="N762" s="58">
        <f t="shared" si="2255"/>
        <v>5186</v>
      </c>
      <c r="O762" s="58">
        <f t="shared" si="2255"/>
        <v>5175</v>
      </c>
      <c r="P762" s="58">
        <f t="shared" si="2255"/>
        <v>5124</v>
      </c>
      <c r="Q762" s="998">
        <f t="shared" si="2255"/>
        <v>5124</v>
      </c>
      <c r="R762" s="58">
        <f t="shared" si="2255"/>
        <v>5108</v>
      </c>
      <c r="S762" s="58">
        <f t="shared" si="2255"/>
        <v>5109</v>
      </c>
      <c r="T762" s="58">
        <f t="shared" si="2255"/>
        <v>5110</v>
      </c>
      <c r="U762" s="58">
        <f t="shared" si="2255"/>
        <v>6347</v>
      </c>
      <c r="V762" s="998">
        <f t="shared" si="2255"/>
        <v>6347</v>
      </c>
      <c r="W762" s="58">
        <f t="shared" si="2255"/>
        <v>6346</v>
      </c>
      <c r="X762" s="58">
        <f t="shared" si="2255"/>
        <v>6348</v>
      </c>
      <c r="Y762" s="58">
        <f t="shared" si="2255"/>
        <v>6349</v>
      </c>
      <c r="Z762" s="58">
        <f t="shared" si="2255"/>
        <v>6350</v>
      </c>
      <c r="AA762" s="998">
        <f t="shared" si="2255"/>
        <v>6350</v>
      </c>
      <c r="AB762" s="58">
        <f t="shared" si="2255"/>
        <v>6847</v>
      </c>
      <c r="AC762" s="58">
        <f t="shared" si="2255"/>
        <v>6448</v>
      </c>
      <c r="AD762" s="58">
        <f t="shared" si="2255"/>
        <v>6450</v>
      </c>
      <c r="AE762" s="58">
        <f t="shared" si="2255"/>
        <v>6451</v>
      </c>
      <c r="AF762" s="998">
        <f t="shared" si="2255"/>
        <v>6451</v>
      </c>
      <c r="AG762" s="58">
        <f t="shared" si="2255"/>
        <v>6453</v>
      </c>
      <c r="AH762" s="58">
        <f t="shared" si="2255"/>
        <v>6628</v>
      </c>
      <c r="AI762" s="58">
        <f t="shared" si="2255"/>
        <v>6630</v>
      </c>
      <c r="AJ762" s="58">
        <f t="shared" si="2255"/>
        <v>6631</v>
      </c>
      <c r="AK762" s="998">
        <f t="shared" si="2255"/>
        <v>6631</v>
      </c>
      <c r="AL762" s="58">
        <f t="shared" si="2256" ref="AL762:BC762">AL971</f>
        <v>6633</v>
      </c>
      <c r="AM762" s="58">
        <f t="shared" si="2256"/>
        <v>6634</v>
      </c>
      <c r="AN762" s="58">
        <f t="shared" si="2256"/>
        <v>6635</v>
      </c>
      <c r="AO762" s="58">
        <f t="shared" si="2256"/>
        <v>7825</v>
      </c>
      <c r="AP762" s="998">
        <f t="shared" si="2256"/>
        <v>7825</v>
      </c>
      <c r="AQ762" s="58">
        <f t="shared" si="2256"/>
        <v>7996</v>
      </c>
      <c r="AR762" s="58">
        <f t="shared" si="2256"/>
        <v>7996</v>
      </c>
      <c r="AS762" s="58">
        <f t="shared" si="2256"/>
        <v>7980</v>
      </c>
      <c r="AT762" s="58">
        <f t="shared" si="2256"/>
        <v>7976</v>
      </c>
      <c r="AU762" s="998">
        <f t="shared" si="2256"/>
        <v>7976</v>
      </c>
      <c r="AV762" s="58">
        <f t="shared" si="2256"/>
        <v>7973</v>
      </c>
      <c r="AW762" s="58">
        <f t="shared" si="2256"/>
        <v>7970</v>
      </c>
      <c r="AX762" s="58">
        <f t="shared" si="2256"/>
        <v>7967</v>
      </c>
      <c r="AY762" s="58">
        <f t="shared" si="2256"/>
        <v>7964</v>
      </c>
      <c r="AZ762" s="998">
        <f t="shared" si="2256"/>
        <v>7964</v>
      </c>
      <c r="BA762" s="58">
        <f t="shared" si="2256"/>
        <v>8452</v>
      </c>
      <c r="BB762" s="58">
        <f t="shared" si="2256"/>
        <v>7949</v>
      </c>
      <c r="BC762" s="58">
        <f t="shared" si="2256"/>
        <v>7946</v>
      </c>
      <c r="BD762" s="58">
        <f t="shared" si="2257" ref="BD762:BF762">BD971</f>
        <v>7942</v>
      </c>
      <c r="BE762" s="998">
        <f t="shared" si="2257"/>
        <v>7942</v>
      </c>
      <c r="BF762" s="58">
        <f t="shared" si="2257"/>
        <v>7938</v>
      </c>
      <c r="BG762" s="58">
        <f>BG971</f>
        <v>8082</v>
      </c>
      <c r="BH762" s="744">
        <f>BH971</f>
        <v>8083</v>
      </c>
      <c r="BI762" s="115">
        <f>MAX(0,BH762+BI769)</f>
        <v>8083</v>
      </c>
      <c r="BJ762" s="995">
        <f>BI762</f>
        <v>8083</v>
      </c>
      <c r="BK762" s="115">
        <f>MAX(0,BJ762+BK769)</f>
        <v>8083</v>
      </c>
      <c r="BL762" s="115">
        <f>MAX(0,BK762+BL769)</f>
        <v>8083</v>
      </c>
      <c r="BM762" s="115">
        <f>MAX(0,BL762+BM769)</f>
        <v>8083</v>
      </c>
      <c r="BN762" s="115">
        <f>MAX(0,BM762+BN769)</f>
        <v>8083</v>
      </c>
      <c r="BO762" s="995">
        <f>BN762</f>
        <v>8083</v>
      </c>
      <c r="BP762" s="995">
        <f>MAX(0,BO762+BP769)</f>
        <v>8083</v>
      </c>
      <c r="BQ762" s="995">
        <f>MAX(0,BP762+BQ769)</f>
        <v>8083</v>
      </c>
      <c r="BR762" s="995">
        <f>MAX(0,BQ762+BR769)</f>
        <v>8083</v>
      </c>
      <c r="BS762" s="305"/>
    </row>
    <row r="763" spans="1:71" s="300" customFormat="1" ht="15">
      <c r="A763" s="431" t="s">
        <v>641</v>
      </c>
      <c r="B763" s="166"/>
      <c r="C763" s="993">
        <f t="shared" si="2258" ref="C763:AK763">SUM(C761:C762)</f>
        <v>5910</v>
      </c>
      <c r="D763" s="993">
        <f t="shared" si="2258"/>
        <v>5908</v>
      </c>
      <c r="E763" s="993">
        <f t="shared" si="2258"/>
        <v>5908</v>
      </c>
      <c r="F763" s="993">
        <f t="shared" si="2258"/>
        <v>6057</v>
      </c>
      <c r="G763" s="993">
        <f t="shared" si="2258"/>
        <v>6201</v>
      </c>
      <c r="H763" s="305">
        <f t="shared" si="2258"/>
        <v>6200</v>
      </c>
      <c r="I763" s="305">
        <f t="shared" si="2258"/>
        <v>5846</v>
      </c>
      <c r="J763" s="305">
        <f t="shared" si="2258"/>
        <v>5195</v>
      </c>
      <c r="K763" s="305">
        <f t="shared" si="2258"/>
        <v>5140</v>
      </c>
      <c r="L763" s="993">
        <f t="shared" si="2258"/>
        <v>5140</v>
      </c>
      <c r="M763" s="305">
        <f t="shared" si="2258"/>
        <v>5194</v>
      </c>
      <c r="N763" s="305">
        <f t="shared" si="2258"/>
        <v>5186</v>
      </c>
      <c r="O763" s="305">
        <f t="shared" si="2258"/>
        <v>5175</v>
      </c>
      <c r="P763" s="305">
        <f t="shared" si="2258"/>
        <v>5124</v>
      </c>
      <c r="Q763" s="993">
        <f t="shared" si="2258"/>
        <v>5124</v>
      </c>
      <c r="R763" s="305">
        <f t="shared" si="2258"/>
        <v>5108</v>
      </c>
      <c r="S763" s="305">
        <f t="shared" si="2258"/>
        <v>5109</v>
      </c>
      <c r="T763" s="305">
        <f t="shared" si="2258"/>
        <v>5110</v>
      </c>
      <c r="U763" s="305">
        <f t="shared" si="2258"/>
        <v>6347</v>
      </c>
      <c r="V763" s="993">
        <f t="shared" si="2258"/>
        <v>6347</v>
      </c>
      <c r="W763" s="305">
        <f t="shared" si="2258"/>
        <v>6346</v>
      </c>
      <c r="X763" s="305">
        <f t="shared" si="2258"/>
        <v>6348</v>
      </c>
      <c r="Y763" s="305">
        <f t="shared" si="2258"/>
        <v>6349</v>
      </c>
      <c r="Z763" s="305">
        <f t="shared" si="2258"/>
        <v>6350</v>
      </c>
      <c r="AA763" s="993">
        <f t="shared" si="2258"/>
        <v>6350</v>
      </c>
      <c r="AB763" s="305">
        <f t="shared" si="2258"/>
        <v>6847</v>
      </c>
      <c r="AC763" s="305">
        <f t="shared" si="2258"/>
        <v>6448</v>
      </c>
      <c r="AD763" s="305">
        <f t="shared" si="2258"/>
        <v>6450</v>
      </c>
      <c r="AE763" s="305">
        <f t="shared" si="2258"/>
        <v>6451</v>
      </c>
      <c r="AF763" s="993">
        <f t="shared" si="2258"/>
        <v>6451</v>
      </c>
      <c r="AG763" s="305">
        <f t="shared" si="2258"/>
        <v>6453</v>
      </c>
      <c r="AH763" s="305">
        <f t="shared" si="2258"/>
        <v>6628</v>
      </c>
      <c r="AI763" s="305">
        <f t="shared" si="2258"/>
        <v>6630</v>
      </c>
      <c r="AJ763" s="305">
        <f t="shared" si="2258"/>
        <v>6631</v>
      </c>
      <c r="AK763" s="993">
        <f t="shared" si="2258"/>
        <v>6631</v>
      </c>
      <c r="AL763" s="305">
        <f t="shared" si="2259" ref="AL763:BC763">SUM(AL761:AL762)</f>
        <v>6633</v>
      </c>
      <c r="AM763" s="305">
        <f t="shared" si="2259"/>
        <v>6634</v>
      </c>
      <c r="AN763" s="305">
        <f t="shared" si="2259"/>
        <v>6635</v>
      </c>
      <c r="AO763" s="305">
        <f t="shared" si="2259"/>
        <v>7825</v>
      </c>
      <c r="AP763" s="993">
        <f t="shared" si="2259"/>
        <v>7825</v>
      </c>
      <c r="AQ763" s="305">
        <f t="shared" si="2259"/>
        <v>7996</v>
      </c>
      <c r="AR763" s="305">
        <f t="shared" si="2259"/>
        <v>7996</v>
      </c>
      <c r="AS763" s="305">
        <f t="shared" si="2259"/>
        <v>7980</v>
      </c>
      <c r="AT763" s="305">
        <f t="shared" si="2259"/>
        <v>7976</v>
      </c>
      <c r="AU763" s="993">
        <f t="shared" si="2259"/>
        <v>7976</v>
      </c>
      <c r="AV763" s="305">
        <f t="shared" si="2259"/>
        <v>7973</v>
      </c>
      <c r="AW763" s="305">
        <f t="shared" si="2259"/>
        <v>7970</v>
      </c>
      <c r="AX763" s="305">
        <f t="shared" si="2259"/>
        <v>7967</v>
      </c>
      <c r="AY763" s="305">
        <f t="shared" si="2259"/>
        <v>7964</v>
      </c>
      <c r="AZ763" s="993">
        <f t="shared" si="2259"/>
        <v>7964</v>
      </c>
      <c r="BA763" s="305">
        <f t="shared" si="2259"/>
        <v>8452</v>
      </c>
      <c r="BB763" s="305">
        <f t="shared" si="2259"/>
        <v>7949</v>
      </c>
      <c r="BC763" s="305">
        <f t="shared" si="2259"/>
        <v>7946</v>
      </c>
      <c r="BD763" s="305">
        <f t="shared" si="2260" ref="BD763:BF763">SUM(BD761:BD762)</f>
        <v>7942</v>
      </c>
      <c r="BE763" s="993">
        <f t="shared" si="2260"/>
        <v>7942</v>
      </c>
      <c r="BF763" s="305">
        <f t="shared" si="2260"/>
        <v>7938</v>
      </c>
      <c r="BG763" s="305">
        <f>SUM(BG761:BG762)</f>
        <v>8082</v>
      </c>
      <c r="BH763" s="743">
        <f>SUM(BH761:BH762)</f>
        <v>8083</v>
      </c>
      <c r="BI763" s="92">
        <f>BH763+BI769</f>
        <v>8083</v>
      </c>
      <c r="BJ763" s="989">
        <f>BI763</f>
        <v>8083</v>
      </c>
      <c r="BK763" s="92">
        <f>BJ763+BK769</f>
        <v>8083</v>
      </c>
      <c r="BL763" s="92">
        <f>BK763+BL769</f>
        <v>8083</v>
      </c>
      <c r="BM763" s="92">
        <f>BL763+BM769</f>
        <v>8083</v>
      </c>
      <c r="BN763" s="92">
        <f>BM763+BN769</f>
        <v>8083</v>
      </c>
      <c r="BO763" s="989">
        <f>BN763</f>
        <v>8083</v>
      </c>
      <c r="BP763" s="989">
        <f>BO763+BP769</f>
        <v>8083</v>
      </c>
      <c r="BQ763" s="989">
        <f>BP763+BQ769</f>
        <v>8083</v>
      </c>
      <c r="BR763" s="989">
        <f>BQ763+BR769</f>
        <v>8083</v>
      </c>
      <c r="BS763" s="305"/>
    </row>
    <row r="764" spans="1:71" s="300" customFormat="1" ht="15">
      <c r="A764" s="432" t="s">
        <v>642</v>
      </c>
      <c r="B764" s="395"/>
      <c r="C764" s="998">
        <f t="shared" si="2261" ref="C764:AK764">C984</f>
        <v>16692</v>
      </c>
      <c r="D764" s="998">
        <f t="shared" si="2261"/>
        <v>18617</v>
      </c>
      <c r="E764" s="998">
        <f t="shared" si="2261"/>
        <v>18298</v>
      </c>
      <c r="F764" s="998">
        <f t="shared" si="2261"/>
        <v>20580</v>
      </c>
      <c r="G764" s="998">
        <f t="shared" si="2261"/>
        <v>21480</v>
      </c>
      <c r="H764" s="58">
        <f t="shared" si="2261"/>
        <v>22105</v>
      </c>
      <c r="I764" s="58">
        <f t="shared" si="2261"/>
        <v>22872</v>
      </c>
      <c r="J764" s="58">
        <f t="shared" si="2261"/>
        <v>22329</v>
      </c>
      <c r="K764" s="58">
        <f t="shared" si="2261"/>
        <v>22304</v>
      </c>
      <c r="L764" s="998">
        <f t="shared" si="2261"/>
        <v>22304</v>
      </c>
      <c r="M764" s="58">
        <f t="shared" si="2261"/>
        <v>22179</v>
      </c>
      <c r="N764" s="58">
        <f t="shared" si="2261"/>
        <v>21298</v>
      </c>
      <c r="O764" s="58">
        <f t="shared" si="2261"/>
        <v>20504</v>
      </c>
      <c r="P764" s="58">
        <f t="shared" si="2261"/>
        <v>20025</v>
      </c>
      <c r="Q764" s="998">
        <f t="shared" si="2261"/>
        <v>20025</v>
      </c>
      <c r="R764" s="58">
        <f t="shared" si="2261"/>
        <v>20340</v>
      </c>
      <c r="S764" s="58">
        <f t="shared" si="2261"/>
        <v>20553</v>
      </c>
      <c r="T764" s="58">
        <f t="shared" si="2261"/>
        <v>20934</v>
      </c>
      <c r="U764" s="58">
        <f t="shared" si="2261"/>
        <v>20573</v>
      </c>
      <c r="V764" s="998">
        <f t="shared" si="2261"/>
        <v>20573</v>
      </c>
      <c r="W764" s="58">
        <f t="shared" si="2261"/>
        <v>21158</v>
      </c>
      <c r="X764" s="58">
        <f t="shared" si="2261"/>
        <v>21501</v>
      </c>
      <c r="Y764" s="58">
        <f t="shared" si="2261"/>
        <v>22119</v>
      </c>
      <c r="Z764" s="58">
        <f t="shared" si="2261"/>
        <v>22551</v>
      </c>
      <c r="AA764" s="998">
        <f t="shared" si="2261"/>
        <v>22551</v>
      </c>
      <c r="AB764" s="58">
        <f t="shared" si="2261"/>
        <v>23277</v>
      </c>
      <c r="AC764" s="58">
        <f t="shared" si="2261"/>
        <v>23122</v>
      </c>
      <c r="AD764" s="58">
        <f t="shared" si="2261"/>
        <v>23633</v>
      </c>
      <c r="AE764" s="58">
        <f t="shared" si="2261"/>
        <v>21312</v>
      </c>
      <c r="AF764" s="998">
        <f t="shared" si="2261"/>
        <v>21312</v>
      </c>
      <c r="AG764" s="58">
        <f t="shared" si="2261"/>
        <v>23418</v>
      </c>
      <c r="AH764" s="58">
        <f t="shared" si="2261"/>
        <v>24476</v>
      </c>
      <c r="AI764" s="58">
        <f t="shared" si="2261"/>
        <v>26140</v>
      </c>
      <c r="AJ764" s="58">
        <f t="shared" si="2261"/>
        <v>25998</v>
      </c>
      <c r="AK764" s="998">
        <f t="shared" si="2261"/>
        <v>25998</v>
      </c>
      <c r="AL764" s="58">
        <f t="shared" si="2262" ref="AL764:BC764">AL984</f>
        <v>24173</v>
      </c>
      <c r="AM764" s="58">
        <f t="shared" si="2262"/>
        <v>26986</v>
      </c>
      <c r="AN764" s="58">
        <f t="shared" si="2262"/>
        <v>27263</v>
      </c>
      <c r="AO764" s="58">
        <f t="shared" si="2262"/>
        <v>30217</v>
      </c>
      <c r="AP764" s="998">
        <f t="shared" si="2262"/>
        <v>30217</v>
      </c>
      <c r="AQ764" s="58">
        <f t="shared" si="2262"/>
        <v>26819</v>
      </c>
      <c r="AR764" s="58">
        <f t="shared" si="2262"/>
        <v>28207</v>
      </c>
      <c r="AS764" s="58">
        <f t="shared" si="2262"/>
        <v>26729</v>
      </c>
      <c r="AT764" s="58">
        <f t="shared" si="2262"/>
        <v>25179</v>
      </c>
      <c r="AU764" s="998">
        <f t="shared" si="2262"/>
        <v>25179</v>
      </c>
      <c r="AV764" s="58">
        <f t="shared" si="2262"/>
        <v>23212</v>
      </c>
      <c r="AW764" s="58">
        <f t="shared" si="2262"/>
        <v>20115</v>
      </c>
      <c r="AX764" s="58">
        <f t="shared" si="2262"/>
        <v>17673</v>
      </c>
      <c r="AY764" s="58">
        <f t="shared" si="2262"/>
        <v>17475</v>
      </c>
      <c r="AZ764" s="998">
        <f t="shared" si="2262"/>
        <v>17475</v>
      </c>
      <c r="BA764" s="58">
        <f t="shared" si="2262"/>
        <v>17494</v>
      </c>
      <c r="BB764" s="58">
        <f t="shared" si="2262"/>
        <v>15517</v>
      </c>
      <c r="BC764" s="58">
        <f t="shared" si="2262"/>
        <v>14593</v>
      </c>
      <c r="BD764" s="58">
        <f t="shared" si="2263" ref="BD764:BF764">BD984</f>
        <v>17770</v>
      </c>
      <c r="BE764" s="998">
        <f t="shared" si="2263"/>
        <v>17770</v>
      </c>
      <c r="BF764" s="58">
        <f t="shared" si="2263"/>
        <v>18639</v>
      </c>
      <c r="BG764" s="58">
        <f>BG984</f>
        <v>18593</v>
      </c>
      <c r="BH764" s="744">
        <f>BH984</f>
        <v>20877</v>
      </c>
      <c r="BI764" s="115">
        <f ca="1" t="shared" si="2264" ref="BI764:BR764">BI984</f>
        <v>21968.242416004097</v>
      </c>
      <c r="BJ764" s="995">
        <f t="shared" ca="1" si="2264"/>
        <v>21968.242416004097</v>
      </c>
      <c r="BK764" s="115">
        <f t="shared" ca="1" si="2264"/>
        <v>23179.286082130122</v>
      </c>
      <c r="BL764" s="115">
        <f t="shared" ca="1" si="2264"/>
        <v>23800.411046250672</v>
      </c>
      <c r="BM764" s="115">
        <f t="shared" ca="1" si="2264"/>
        <v>24772.965469757524</v>
      </c>
      <c r="BN764" s="115">
        <f t="shared" ca="1" si="2264"/>
        <v>26205.207663861962</v>
      </c>
      <c r="BO764" s="995">
        <f t="shared" ca="1" si="2264"/>
        <v>26205.207663861962</v>
      </c>
      <c r="BP764" s="995">
        <f t="shared" ca="1" si="2264"/>
        <v>30809.999389524324</v>
      </c>
      <c r="BQ764" s="995">
        <f t="shared" ca="1" si="2264"/>
        <v>35549.98796772967</v>
      </c>
      <c r="BR764" s="995">
        <f t="shared" ca="1" si="2264"/>
        <v>40445.796852767453</v>
      </c>
      <c r="BS764" s="305"/>
    </row>
    <row r="765" spans="1:71" s="51" customFormat="1" ht="15">
      <c r="A765" s="433" t="s">
        <v>643</v>
      </c>
      <c r="B765" s="483"/>
      <c r="C765" s="999">
        <f t="shared" si="2265" ref="C765:AH765">SUM(C763:C764)</f>
        <v>22602</v>
      </c>
      <c r="D765" s="999">
        <f t="shared" si="2265"/>
        <v>24525</v>
      </c>
      <c r="E765" s="999">
        <f t="shared" si="2265"/>
        <v>24206</v>
      </c>
      <c r="F765" s="999">
        <f t="shared" si="2265"/>
        <v>26637</v>
      </c>
      <c r="G765" s="999">
        <f t="shared" si="2265"/>
        <v>27681</v>
      </c>
      <c r="H765" s="57">
        <f t="shared" si="2265"/>
        <v>28305</v>
      </c>
      <c r="I765" s="57">
        <f t="shared" si="2265"/>
        <v>28718</v>
      </c>
      <c r="J765" s="57">
        <f t="shared" si="2265"/>
        <v>27524</v>
      </c>
      <c r="K765" s="57">
        <f t="shared" si="2265"/>
        <v>27444</v>
      </c>
      <c r="L765" s="999">
        <f t="shared" si="2265"/>
        <v>27444</v>
      </c>
      <c r="M765" s="57">
        <f t="shared" si="2265"/>
        <v>27373</v>
      </c>
      <c r="N765" s="57">
        <f t="shared" si="2265"/>
        <v>26484</v>
      </c>
      <c r="O765" s="57">
        <f t="shared" si="2265"/>
        <v>25679</v>
      </c>
      <c r="P765" s="57">
        <f t="shared" si="2265"/>
        <v>25149</v>
      </c>
      <c r="Q765" s="999">
        <f t="shared" si="2265"/>
        <v>25149</v>
      </c>
      <c r="R765" s="57">
        <f t="shared" si="2265"/>
        <v>25448</v>
      </c>
      <c r="S765" s="57">
        <f t="shared" si="2265"/>
        <v>25662</v>
      </c>
      <c r="T765" s="57">
        <f t="shared" si="2265"/>
        <v>26044</v>
      </c>
      <c r="U765" s="57">
        <f t="shared" si="2265"/>
        <v>26920</v>
      </c>
      <c r="V765" s="999">
        <f t="shared" si="2265"/>
        <v>26920</v>
      </c>
      <c r="W765" s="57">
        <f t="shared" si="2265"/>
        <v>27504</v>
      </c>
      <c r="X765" s="57">
        <f t="shared" si="2265"/>
        <v>27849</v>
      </c>
      <c r="Y765" s="57">
        <f t="shared" si="2265"/>
        <v>28468</v>
      </c>
      <c r="Z765" s="57">
        <f t="shared" si="2265"/>
        <v>28901</v>
      </c>
      <c r="AA765" s="999">
        <f t="shared" si="2265"/>
        <v>28901</v>
      </c>
      <c r="AB765" s="57">
        <f t="shared" si="2265"/>
        <v>30124</v>
      </c>
      <c r="AC765" s="57">
        <f t="shared" si="2265"/>
        <v>29570</v>
      </c>
      <c r="AD765" s="57">
        <f t="shared" si="2265"/>
        <v>30083</v>
      </c>
      <c r="AE765" s="57">
        <f t="shared" si="2265"/>
        <v>27763</v>
      </c>
      <c r="AF765" s="999">
        <f t="shared" si="2265"/>
        <v>27763</v>
      </c>
      <c r="AG765" s="57">
        <f t="shared" si="2265"/>
        <v>29871</v>
      </c>
      <c r="AH765" s="57">
        <f t="shared" si="2265"/>
        <v>31104</v>
      </c>
      <c r="AI765" s="57">
        <f t="shared" si="2266" ref="AI765:BC765">SUM(AI763:AI764)</f>
        <v>32770</v>
      </c>
      <c r="AJ765" s="57">
        <f t="shared" si="2266"/>
        <v>32629</v>
      </c>
      <c r="AK765" s="999">
        <f t="shared" si="2266"/>
        <v>32629</v>
      </c>
      <c r="AL765" s="57">
        <f t="shared" si="2266"/>
        <v>30806</v>
      </c>
      <c r="AM765" s="57">
        <f t="shared" si="2266"/>
        <v>33620</v>
      </c>
      <c r="AN765" s="57">
        <f t="shared" si="2266"/>
        <v>33898</v>
      </c>
      <c r="AO765" s="57">
        <f t="shared" si="2266"/>
        <v>38042</v>
      </c>
      <c r="AP765" s="999">
        <f t="shared" si="2266"/>
        <v>38042</v>
      </c>
      <c r="AQ765" s="57">
        <f t="shared" si="2266"/>
        <v>34815</v>
      </c>
      <c r="AR765" s="57">
        <f t="shared" si="2266"/>
        <v>36203</v>
      </c>
      <c r="AS765" s="57">
        <f t="shared" si="2266"/>
        <v>34709</v>
      </c>
      <c r="AT765" s="57">
        <f t="shared" si="2266"/>
        <v>33155</v>
      </c>
      <c r="AU765" s="999">
        <f t="shared" si="2266"/>
        <v>33155</v>
      </c>
      <c r="AV765" s="57">
        <f t="shared" si="2266"/>
        <v>31185</v>
      </c>
      <c r="AW765" s="57">
        <f t="shared" si="2266"/>
        <v>28085</v>
      </c>
      <c r="AX765" s="57">
        <f t="shared" si="2266"/>
        <v>25640</v>
      </c>
      <c r="AY765" s="57">
        <f t="shared" si="2266"/>
        <v>25439</v>
      </c>
      <c r="AZ765" s="999">
        <f t="shared" si="2266"/>
        <v>25439</v>
      </c>
      <c r="BA765" s="57">
        <f t="shared" si="2266"/>
        <v>25946</v>
      </c>
      <c r="BB765" s="57">
        <f t="shared" si="2266"/>
        <v>23466</v>
      </c>
      <c r="BC765" s="57">
        <f t="shared" si="2266"/>
        <v>22539</v>
      </c>
      <c r="BD765" s="57">
        <f t="shared" si="2267" ref="BD765:BF765">SUM(BD763:BD764)</f>
        <v>25712</v>
      </c>
      <c r="BE765" s="999">
        <f t="shared" si="2267"/>
        <v>25712</v>
      </c>
      <c r="BF765" s="57">
        <f t="shared" si="2267"/>
        <v>26577</v>
      </c>
      <c r="BG765" s="57">
        <f>SUM(BG763:BG764)</f>
        <v>26675</v>
      </c>
      <c r="BH765" s="745">
        <f>SUM(BH763:BH764)</f>
        <v>28960</v>
      </c>
      <c r="BI765" s="128">
        <f ca="1" t="shared" si="2268" ref="BI765:BR765">SUM(BI763:BI764)</f>
        <v>30051.242416004097</v>
      </c>
      <c r="BJ765" s="1000">
        <f t="shared" ca="1" si="2268"/>
        <v>30051.242416004097</v>
      </c>
      <c r="BK765" s="128">
        <f t="shared" ca="1" si="2268"/>
        <v>31262.286082130122</v>
      </c>
      <c r="BL765" s="128">
        <f t="shared" ca="1" si="2268"/>
        <v>31883.411046250672</v>
      </c>
      <c r="BM765" s="128">
        <f t="shared" ca="1" si="2268"/>
        <v>32855.965469757524</v>
      </c>
      <c r="BN765" s="128">
        <f t="shared" ca="1" si="2268"/>
        <v>34288.207663861962</v>
      </c>
      <c r="BO765" s="1000">
        <f t="shared" ca="1" si="2268"/>
        <v>34288.207663861962</v>
      </c>
      <c r="BP765" s="1000">
        <f t="shared" ca="1" si="2268"/>
        <v>38892.999389524324</v>
      </c>
      <c r="BQ765" s="1000">
        <f t="shared" ca="1" si="2268"/>
        <v>43632.98796772967</v>
      </c>
      <c r="BR765" s="1000">
        <f t="shared" ca="1" si="2268"/>
        <v>48528.796852767453</v>
      </c>
      <c r="BS765" s="57"/>
    </row>
    <row r="766" spans="1:71" ht="15">
      <c r="A766" s="523"/>
      <c r="B766" s="522"/>
      <c r="C766" s="1076"/>
      <c r="D766" s="1076"/>
      <c r="E766" s="1076"/>
      <c r="F766" s="1076"/>
      <c r="G766" s="1076"/>
      <c r="H766" s="472"/>
      <c r="I766" s="472"/>
      <c r="J766" s="472"/>
      <c r="K766" s="472"/>
      <c r="L766" s="1076"/>
      <c r="M766" s="472"/>
      <c r="N766" s="472"/>
      <c r="O766" s="472"/>
      <c r="P766" s="472"/>
      <c r="Q766" s="1076"/>
      <c r="R766" s="472"/>
      <c r="S766" s="472"/>
      <c r="T766" s="472"/>
      <c r="U766" s="472"/>
      <c r="V766" s="1076"/>
      <c r="W766" s="472"/>
      <c r="X766" s="472"/>
      <c r="Y766" s="472"/>
      <c r="Z766" s="472"/>
      <c r="AA766" s="1076"/>
      <c r="AB766" s="472"/>
      <c r="AC766" s="472"/>
      <c r="AD766" s="472"/>
      <c r="AE766" s="472"/>
      <c r="AF766" s="1076"/>
      <c r="AG766" s="472"/>
      <c r="AH766" s="472"/>
      <c r="AI766" s="472"/>
      <c r="AJ766" s="472"/>
      <c r="AK766" s="1076"/>
      <c r="AL766" s="472"/>
      <c r="AM766" s="472"/>
      <c r="AN766" s="472"/>
      <c r="AO766" s="472"/>
      <c r="AP766" s="1076"/>
      <c r="AQ766" s="472"/>
      <c r="AR766" s="472"/>
      <c r="AS766" s="472"/>
      <c r="AT766" s="472"/>
      <c r="AU766" s="1076"/>
      <c r="AV766" s="472"/>
      <c r="AW766" s="472"/>
      <c r="AX766" s="472"/>
      <c r="AY766" s="472"/>
      <c r="AZ766" s="1076"/>
      <c r="BA766" s="472"/>
      <c r="BB766" s="472"/>
      <c r="BC766" s="472"/>
      <c r="BD766" s="472"/>
      <c r="BE766" s="1076"/>
      <c r="BF766" s="472"/>
      <c r="BG766" s="472"/>
      <c r="BH766" s="473"/>
      <c r="BI766" s="472"/>
      <c r="BJ766" s="1076"/>
      <c r="BK766" s="472"/>
      <c r="BL766" s="472"/>
      <c r="BM766" s="472"/>
      <c r="BN766" s="472"/>
      <c r="BO766" s="1076"/>
      <c r="BP766" s="1076"/>
      <c r="BQ766" s="1076"/>
      <c r="BR766" s="1076"/>
      <c r="BS766" s="303"/>
    </row>
    <row r="767" spans="1:71" s="25" customFormat="1" ht="15">
      <c r="A767" s="407" t="s">
        <v>556</v>
      </c>
      <c r="B767" s="488"/>
      <c r="C767" s="1015">
        <f t="shared" si="2269" ref="C767:AU767">C763/C765</f>
        <v>0.26148128484204936</v>
      </c>
      <c r="D767" s="1015">
        <f t="shared" si="2269"/>
        <v>0.24089704383282365</v>
      </c>
      <c r="E767" s="1015">
        <f t="shared" si="2269"/>
        <v>0.24407171775592829</v>
      </c>
      <c r="F767" s="1015">
        <f t="shared" si="2269"/>
        <v>0.22739047189998873</v>
      </c>
      <c r="G767" s="1015">
        <f t="shared" si="2269"/>
        <v>0.22401647339330227</v>
      </c>
      <c r="H767" s="158">
        <f t="shared" si="2269"/>
        <v>0.21904257198374846</v>
      </c>
      <c r="I767" s="158">
        <f t="shared" si="2269"/>
        <v>0.20356570791837872</v>
      </c>
      <c r="J767" s="158">
        <f t="shared" si="2269"/>
        <v>0.1887443685510827</v>
      </c>
      <c r="K767" s="158">
        <f t="shared" si="2269"/>
        <v>0.18729048243696253</v>
      </c>
      <c r="L767" s="1015">
        <f t="shared" si="2269"/>
        <v>0.18729048243696253</v>
      </c>
      <c r="M767" s="158">
        <f t="shared" si="2269"/>
        <v>0.18974902275965366</v>
      </c>
      <c r="N767" s="158">
        <f t="shared" si="2269"/>
        <v>0.19581634194230479</v>
      </c>
      <c r="O767" s="158">
        <f t="shared" si="2269"/>
        <v>0.20152653919545155</v>
      </c>
      <c r="P767" s="158">
        <f t="shared" si="2269"/>
        <v>0.20374567577239652</v>
      </c>
      <c r="Q767" s="1015">
        <f t="shared" si="2269"/>
        <v>0.20374567577239652</v>
      </c>
      <c r="R767" s="158">
        <f t="shared" si="2269"/>
        <v>0.20072304306821753</v>
      </c>
      <c r="S767" s="158">
        <f t="shared" si="2269"/>
        <v>0.19908814589665655</v>
      </c>
      <c r="T767" s="158">
        <f t="shared" si="2269"/>
        <v>0.19620641990477652</v>
      </c>
      <c r="U767" s="158">
        <f t="shared" si="2269"/>
        <v>0.23577265973254086</v>
      </c>
      <c r="V767" s="1015">
        <f t="shared" si="2269"/>
        <v>0.23577265973254086</v>
      </c>
      <c r="W767" s="158">
        <f t="shared" si="2269"/>
        <v>0.23073007562536357</v>
      </c>
      <c r="X767" s="158">
        <f t="shared" si="2269"/>
        <v>0.22794355273079822</v>
      </c>
      <c r="Y767" s="158">
        <f t="shared" si="2269"/>
        <v>0.22302234087396375</v>
      </c>
      <c r="Z767" s="158">
        <f t="shared" si="2269"/>
        <v>0.21971558077575171</v>
      </c>
      <c r="AA767" s="1015">
        <f t="shared" si="2269"/>
        <v>0.21971558077575171</v>
      </c>
      <c r="AB767" s="158">
        <f t="shared" si="2269"/>
        <v>0.22729385207807729</v>
      </c>
      <c r="AC767" s="158">
        <f t="shared" si="2269"/>
        <v>0.21805884342238754</v>
      </c>
      <c r="AD767" s="158">
        <f t="shared" si="2269"/>
        <v>0.21440680783166571</v>
      </c>
      <c r="AE767" s="158">
        <f t="shared" si="2269"/>
        <v>0.23235961531534777</v>
      </c>
      <c r="AF767" s="1015">
        <f t="shared" si="2269"/>
        <v>0.23235961531534777</v>
      </c>
      <c r="AG767" s="158">
        <f t="shared" si="2269"/>
        <v>0.21602892437481169</v>
      </c>
      <c r="AH767" s="158">
        <f t="shared" si="2269"/>
        <v>0.21309156378600824</v>
      </c>
      <c r="AI767" s="158">
        <f t="shared" si="2269"/>
        <v>0.20231919438510834</v>
      </c>
      <c r="AJ767" s="158">
        <f t="shared" si="2269"/>
        <v>0.20322412577768242</v>
      </c>
      <c r="AK767" s="1015">
        <f t="shared" si="2269"/>
        <v>0.20322412577768242</v>
      </c>
      <c r="AL767" s="158">
        <f t="shared" si="2269"/>
        <v>0.2153151983379861</v>
      </c>
      <c r="AM767" s="158">
        <f>AM763/AM765</f>
        <v>0.19732302201070792</v>
      </c>
      <c r="AN767" s="158">
        <f>AN763/AN765</f>
        <v>0.19573426160835447</v>
      </c>
      <c r="AO767" s="158">
        <f t="shared" si="2269"/>
        <v>0.20569370695547026</v>
      </c>
      <c r="AP767" s="1015">
        <f t="shared" si="2269"/>
        <v>0.20569370695547026</v>
      </c>
      <c r="AQ767" s="158">
        <f>AQ763/AQ765</f>
        <v>0.22967111877064483</v>
      </c>
      <c r="AR767" s="158">
        <f>AR763/AR765</f>
        <v>0.22086567411540481</v>
      </c>
      <c r="AS767" s="158">
        <f>AS763/AS765</f>
        <v>0.22991155031836122</v>
      </c>
      <c r="AT767" s="158">
        <f t="shared" si="2269"/>
        <v>0.24056703362992007</v>
      </c>
      <c r="AU767" s="1015">
        <f t="shared" si="2269"/>
        <v>0.24056703362992007</v>
      </c>
      <c r="AV767" s="158">
        <f t="shared" si="2270" ref="AV767:BJ767">AV763/AV765</f>
        <v>0.25566778900112236</v>
      </c>
      <c r="AW767" s="158">
        <f t="shared" si="2270"/>
        <v>0.28378137795976499</v>
      </c>
      <c r="AX767" s="158">
        <f t="shared" si="2270"/>
        <v>0.31072542901716066</v>
      </c>
      <c r="AY767" s="158">
        <f t="shared" si="2270"/>
        <v>0.31306262038602145</v>
      </c>
      <c r="AZ767" s="1015">
        <f t="shared" si="2270"/>
        <v>0.31306262038602145</v>
      </c>
      <c r="BA767" s="158">
        <f>BA763/BA765</f>
        <v>0.32575348801356663</v>
      </c>
      <c r="BB767" s="158">
        <f>BB763/BB765</f>
        <v>0.33874541890394616</v>
      </c>
      <c r="BC767" s="158">
        <f>BC763/BC765</f>
        <v>0.352544478459559</v>
      </c>
      <c r="BD767" s="158">
        <f t="shared" si="2271" ref="BD767:BE767">BD763/BD765</f>
        <v>0.30888301182327316</v>
      </c>
      <c r="BE767" s="1015">
        <f t="shared" si="2271"/>
        <v>0.30888301182327316</v>
      </c>
      <c r="BF767" s="158">
        <f>BF763/BF765</f>
        <v>0.298679309177108</v>
      </c>
      <c r="BG767" s="393">
        <f>BG763/BG765</f>
        <v>0.30298031865042174</v>
      </c>
      <c r="BH767" s="750">
        <f>BH763/BH765</f>
        <v>0.27910911602209942</v>
      </c>
      <c r="BI767" s="393">
        <f ca="1">BI763/BI765</f>
        <v>0.26897390424348366</v>
      </c>
      <c r="BJ767" s="1016">
        <f t="shared" ca="1" si="2270"/>
        <v>0.26897390424348366</v>
      </c>
      <c r="BK767" s="393">
        <f ca="1" t="shared" si="2272" ref="BK767:BR767">BK763/BK765</f>
        <v>0.25855434816138845</v>
      </c>
      <c r="BL767" s="393">
        <f t="shared" ca="1" si="2272"/>
        <v>0.25351741657361093</v>
      </c>
      <c r="BM767" s="393">
        <f t="shared" ca="1" si="2272"/>
        <v>0.24601316334593934</v>
      </c>
      <c r="BN767" s="393">
        <f t="shared" ca="1" si="2272"/>
        <v>0.23573702303836294</v>
      </c>
      <c r="BO767" s="1016">
        <f t="shared" ca="1" si="2272"/>
        <v>0.23573702303836294</v>
      </c>
      <c r="BP767" s="1016">
        <f t="shared" ca="1" si="2272"/>
        <v>0.20782660444998038</v>
      </c>
      <c r="BQ767" s="1016">
        <f t="shared" ca="1" si="2272"/>
        <v>0.18524974741537459</v>
      </c>
      <c r="BR767" s="1016">
        <f t="shared" ca="1" si="2272"/>
        <v>0.1665608983573853</v>
      </c>
      <c r="BS767" s="158"/>
    </row>
    <row r="768" spans="1:71" ht="15">
      <c r="A768" s="523"/>
      <c r="B768" s="522"/>
      <c r="C768" s="1076"/>
      <c r="D768" s="1076"/>
      <c r="E768" s="1076"/>
      <c r="F768" s="1076"/>
      <c r="G768" s="1076"/>
      <c r="H768" s="472"/>
      <c r="I768" s="472"/>
      <c r="J768" s="472"/>
      <c r="K768" s="472"/>
      <c r="L768" s="1076"/>
      <c r="M768" s="472"/>
      <c r="N768" s="472"/>
      <c r="O768" s="472"/>
      <c r="P768" s="472"/>
      <c r="Q768" s="1076"/>
      <c r="R768" s="472"/>
      <c r="S768" s="472"/>
      <c r="T768" s="472"/>
      <c r="U768" s="472"/>
      <c r="V768" s="1076"/>
      <c r="W768" s="472"/>
      <c r="X768" s="472"/>
      <c r="Y768" s="472"/>
      <c r="Z768" s="472"/>
      <c r="AA768" s="1076"/>
      <c r="AB768" s="472"/>
      <c r="AC768" s="472"/>
      <c r="AD768" s="472"/>
      <c r="AE768" s="472"/>
      <c r="AF768" s="1076"/>
      <c r="AG768" s="472"/>
      <c r="AH768" s="472"/>
      <c r="AI768" s="472"/>
      <c r="AJ768" s="472"/>
      <c r="AK768" s="1076"/>
      <c r="AL768" s="472"/>
      <c r="AM768" s="472"/>
      <c r="AN768" s="472"/>
      <c r="AO768" s="472"/>
      <c r="AP768" s="1076"/>
      <c r="AQ768" s="472"/>
      <c r="AR768" s="472"/>
      <c r="AS768" s="472"/>
      <c r="AT768" s="472"/>
      <c r="AU768" s="1076"/>
      <c r="AV768" s="472"/>
      <c r="AW768" s="472"/>
      <c r="AX768" s="472"/>
      <c r="AY768" s="472"/>
      <c r="AZ768" s="1076"/>
      <c r="BA768" s="472"/>
      <c r="BB768" s="472"/>
      <c r="BC768" s="472"/>
      <c r="BD768" s="472"/>
      <c r="BE768" s="1076"/>
      <c r="BF768" s="472"/>
      <c r="BG768" s="472"/>
      <c r="BH768" s="473"/>
      <c r="BI768" s="472"/>
      <c r="BJ768" s="1076"/>
      <c r="BK768" s="472"/>
      <c r="BL768" s="472"/>
      <c r="BM768" s="472"/>
      <c r="BN768" s="472"/>
      <c r="BO768" s="1076"/>
      <c r="BP768" s="1076"/>
      <c r="BQ768" s="1076"/>
      <c r="BR768" s="1076"/>
      <c r="BS768" s="303"/>
    </row>
    <row r="769" spans="1:71" s="300" customFormat="1" ht="15">
      <c r="A769" s="637" t="s">
        <v>644</v>
      </c>
      <c r="B769" s="166"/>
      <c r="C769" s="989">
        <f t="shared" si="2273" ref="C769:AH769">C914+C915</f>
        <v>251</v>
      </c>
      <c r="D769" s="989">
        <f t="shared" si="2273"/>
        <v>-2</v>
      </c>
      <c r="E769" s="989">
        <f t="shared" si="2273"/>
        <v>0</v>
      </c>
      <c r="F769" s="989">
        <f t="shared" si="2273"/>
        <v>141</v>
      </c>
      <c r="G769" s="989">
        <f t="shared" si="2273"/>
        <v>-356</v>
      </c>
      <c r="H769" s="92">
        <f t="shared" si="2273"/>
        <v>-1</v>
      </c>
      <c r="I769" s="92">
        <f t="shared" si="2273"/>
        <v>-354</v>
      </c>
      <c r="J769" s="92">
        <f t="shared" si="2273"/>
        <v>-651</v>
      </c>
      <c r="K769" s="92">
        <f t="shared" si="2273"/>
        <v>0</v>
      </c>
      <c r="L769" s="989">
        <f t="shared" si="2273"/>
        <v>-1006</v>
      </c>
      <c r="M769" s="92">
        <f t="shared" si="2273"/>
        <v>0</v>
      </c>
      <c r="N769" s="92">
        <f t="shared" si="2273"/>
        <v>-9</v>
      </c>
      <c r="O769" s="92">
        <f t="shared" si="2273"/>
        <v>-11</v>
      </c>
      <c r="P769" s="92">
        <f t="shared" si="2273"/>
        <v>0</v>
      </c>
      <c r="Q769" s="989">
        <f t="shared" si="2273"/>
        <v>-20</v>
      </c>
      <c r="R769" s="92">
        <f t="shared" si="2273"/>
        <v>-16</v>
      </c>
      <c r="S769" s="92">
        <f t="shared" si="2273"/>
        <v>0</v>
      </c>
      <c r="T769" s="92">
        <f t="shared" si="2273"/>
        <v>0</v>
      </c>
      <c r="U769" s="92">
        <f t="shared" si="2273"/>
        <v>1235</v>
      </c>
      <c r="V769" s="989">
        <f t="shared" si="2273"/>
        <v>1219</v>
      </c>
      <c r="W769" s="92">
        <f t="shared" si="2273"/>
        <v>0</v>
      </c>
      <c r="X769" s="92">
        <f t="shared" si="2273"/>
        <v>0</v>
      </c>
      <c r="Y769" s="92">
        <f t="shared" si="2273"/>
        <v>0</v>
      </c>
      <c r="Z769" s="92">
        <f t="shared" si="2273"/>
        <v>0</v>
      </c>
      <c r="AA769" s="989">
        <f t="shared" si="2273"/>
        <v>0</v>
      </c>
      <c r="AB769" s="92">
        <f t="shared" si="2273"/>
        <v>498</v>
      </c>
      <c r="AC769" s="92">
        <f t="shared" si="2273"/>
        <v>-401</v>
      </c>
      <c r="AD769" s="92">
        <f t="shared" si="2273"/>
        <v>0</v>
      </c>
      <c r="AE769" s="92">
        <f t="shared" si="2273"/>
        <v>1</v>
      </c>
      <c r="AF769" s="989">
        <f t="shared" si="2273"/>
        <v>98</v>
      </c>
      <c r="AG769" s="92">
        <f t="shared" si="2273"/>
        <v>0</v>
      </c>
      <c r="AH769" s="92">
        <f t="shared" si="2273"/>
        <v>175</v>
      </c>
      <c r="AI769" s="92">
        <f t="shared" si="2274" ref="AI769:BF769">AI914+AI915</f>
        <v>-1</v>
      </c>
      <c r="AJ769" s="92">
        <f t="shared" si="2274"/>
        <v>0</v>
      </c>
      <c r="AK769" s="989">
        <f t="shared" si="2274"/>
        <v>174</v>
      </c>
      <c r="AL769" s="92">
        <f t="shared" si="2274"/>
        <v>0</v>
      </c>
      <c r="AM769" s="92">
        <f t="shared" si="2274"/>
        <v>0</v>
      </c>
      <c r="AN769" s="92">
        <f t="shared" si="2274"/>
        <v>0</v>
      </c>
      <c r="AO769" s="92">
        <f t="shared" si="2274"/>
        <v>1189</v>
      </c>
      <c r="AP769" s="989">
        <f t="shared" si="2274"/>
        <v>1189</v>
      </c>
      <c r="AQ769" s="92">
        <f t="shared" si="2274"/>
        <v>-422</v>
      </c>
      <c r="AR769" s="92">
        <f t="shared" si="2274"/>
        <v>0</v>
      </c>
      <c r="AS769" s="92">
        <f t="shared" si="2274"/>
        <v>0</v>
      </c>
      <c r="AT769" s="92">
        <f t="shared" si="2274"/>
        <v>-14</v>
      </c>
      <c r="AU769" s="989">
        <f t="shared" si="2274"/>
        <v>-436</v>
      </c>
      <c r="AV769" s="92">
        <f t="shared" si="2274"/>
        <v>0</v>
      </c>
      <c r="AW769" s="92">
        <f t="shared" si="2274"/>
        <v>0</v>
      </c>
      <c r="AX769" s="92">
        <f t="shared" si="2274"/>
        <v>0</v>
      </c>
      <c r="AY769" s="92">
        <f t="shared" si="2274"/>
        <v>0</v>
      </c>
      <c r="AZ769" s="989">
        <f t="shared" si="2274"/>
        <v>0</v>
      </c>
      <c r="BA769" s="92">
        <f t="shared" si="2274"/>
        <v>494</v>
      </c>
      <c r="BB769" s="92">
        <f t="shared" si="2274"/>
        <v>-501</v>
      </c>
      <c r="BC769" s="92">
        <f t="shared" si="2274"/>
        <v>0</v>
      </c>
      <c r="BD769" s="92">
        <f t="shared" si="2274"/>
        <v>0</v>
      </c>
      <c r="BE769" s="989">
        <f t="shared" si="2274"/>
        <v>-7</v>
      </c>
      <c r="BF769" s="92">
        <f t="shared" si="2274"/>
        <v>0</v>
      </c>
      <c r="BG769" s="92">
        <f t="shared" si="2275" ref="BG769">BG914+BG915</f>
        <v>145</v>
      </c>
      <c r="BH769" s="464">
        <f>BH914+BH915</f>
        <v>0</v>
      </c>
      <c r="BI769" s="897">
        <v>0</v>
      </c>
      <c r="BJ769" s="989">
        <f>BJ914+BJ915</f>
        <v>145</v>
      </c>
      <c r="BK769" s="897">
        <v>0</v>
      </c>
      <c r="BL769" s="897">
        <v>0</v>
      </c>
      <c r="BM769" s="897">
        <v>0</v>
      </c>
      <c r="BN769" s="897">
        <v>0</v>
      </c>
      <c r="BO769" s="989">
        <f>BO914+BO915</f>
        <v>0</v>
      </c>
      <c r="BP769" s="988">
        <v>0</v>
      </c>
      <c r="BQ769" s="988">
        <v>0</v>
      </c>
      <c r="BR769" s="988">
        <v>0</v>
      </c>
      <c r="BS769" s="305"/>
    </row>
    <row r="770" spans="1:71" s="300" customFormat="1" ht="15">
      <c r="A770" s="637" t="s">
        <v>645</v>
      </c>
      <c r="B770" s="166"/>
      <c r="C770" s="989">
        <f t="shared" si="2276" ref="C770:AH770">C922+C923</f>
        <v>-1</v>
      </c>
      <c r="D770" s="989">
        <f t="shared" si="2276"/>
        <v>-124</v>
      </c>
      <c r="E770" s="989">
        <f t="shared" si="2276"/>
        <v>-934</v>
      </c>
      <c r="F770" s="989">
        <f t="shared" si="2276"/>
        <v>-828</v>
      </c>
      <c r="G770" s="989">
        <f t="shared" si="2276"/>
        <v>-1664</v>
      </c>
      <c r="H770" s="92">
        <f t="shared" si="2276"/>
        <v>-1038</v>
      </c>
      <c r="I770" s="92">
        <f t="shared" si="2276"/>
        <v>-70</v>
      </c>
      <c r="J770" s="92">
        <f t="shared" si="2276"/>
        <v>-877</v>
      </c>
      <c r="K770" s="92">
        <f t="shared" si="2276"/>
        <v>-50</v>
      </c>
      <c r="L770" s="989">
        <f t="shared" si="2276"/>
        <v>-2035</v>
      </c>
      <c r="M770" s="92">
        <f t="shared" si="2276"/>
        <v>-946</v>
      </c>
      <c r="N770" s="92">
        <f t="shared" si="2276"/>
        <v>-369</v>
      </c>
      <c r="O770" s="92">
        <f t="shared" si="2276"/>
        <v>-780</v>
      </c>
      <c r="P770" s="92">
        <f t="shared" si="2276"/>
        <v>-583</v>
      </c>
      <c r="Q770" s="989">
        <f t="shared" si="2276"/>
        <v>-2678</v>
      </c>
      <c r="R770" s="92">
        <f t="shared" si="2276"/>
        <v>-426</v>
      </c>
      <c r="S770" s="92">
        <f t="shared" si="2276"/>
        <v>-406</v>
      </c>
      <c r="T770" s="92">
        <f t="shared" si="2276"/>
        <v>-199</v>
      </c>
      <c r="U770" s="92">
        <f t="shared" si="2276"/>
        <v>-142</v>
      </c>
      <c r="V770" s="989">
        <f t="shared" si="2276"/>
        <v>-1173</v>
      </c>
      <c r="W770" s="92">
        <f t="shared" si="2276"/>
        <v>-197</v>
      </c>
      <c r="X770" s="92">
        <f t="shared" si="2276"/>
        <v>-352</v>
      </c>
      <c r="Y770" s="92">
        <f t="shared" si="2276"/>
        <v>-167</v>
      </c>
      <c r="Z770" s="92">
        <f t="shared" si="2276"/>
        <v>-644</v>
      </c>
      <c r="AA770" s="989">
        <f t="shared" si="2276"/>
        <v>-1360</v>
      </c>
      <c r="AB770" s="92">
        <f t="shared" si="2276"/>
        <v>-260</v>
      </c>
      <c r="AC770" s="92">
        <f t="shared" si="2276"/>
        <v>-550</v>
      </c>
      <c r="AD770" s="92">
        <f t="shared" si="2276"/>
        <v>-186</v>
      </c>
      <c r="AE770" s="92">
        <f t="shared" si="2276"/>
        <v>-1234</v>
      </c>
      <c r="AF770" s="989">
        <f t="shared" si="2276"/>
        <v>-2230</v>
      </c>
      <c r="AG770" s="92">
        <f t="shared" si="2276"/>
        <v>-5</v>
      </c>
      <c r="AH770" s="92">
        <f t="shared" si="2276"/>
        <v>-283</v>
      </c>
      <c r="AI770" s="92">
        <f t="shared" si="2277" ref="AI770:BF770">AI922+AI923</f>
        <v>-550</v>
      </c>
      <c r="AJ770" s="92">
        <f t="shared" si="2277"/>
        <v>-777</v>
      </c>
      <c r="AK770" s="989">
        <f t="shared" si="2277"/>
        <v>-1615</v>
      </c>
      <c r="AL770" s="92">
        <f t="shared" si="2277"/>
        <v>-406</v>
      </c>
      <c r="AM770" s="92">
        <f t="shared" si="2277"/>
        <v>-363</v>
      </c>
      <c r="AN770" s="92">
        <f t="shared" si="2277"/>
        <v>-914</v>
      </c>
      <c r="AO770" s="92">
        <f t="shared" si="2277"/>
        <v>9</v>
      </c>
      <c r="AP770" s="989">
        <f t="shared" si="2277"/>
        <v>-1674</v>
      </c>
      <c r="AQ770" s="92">
        <f t="shared" si="2277"/>
        <v>-463</v>
      </c>
      <c r="AR770" s="92">
        <f t="shared" si="2277"/>
        <v>-483</v>
      </c>
      <c r="AS770" s="92">
        <f t="shared" si="2277"/>
        <v>-1203</v>
      </c>
      <c r="AT770" s="92">
        <f t="shared" si="2277"/>
        <v>-857</v>
      </c>
      <c r="AU770" s="989">
        <f t="shared" si="2277"/>
        <v>-3006</v>
      </c>
      <c r="AV770" s="92">
        <f t="shared" si="2277"/>
        <v>-785</v>
      </c>
      <c r="AW770" s="92">
        <f t="shared" si="2277"/>
        <v>-645</v>
      </c>
      <c r="AX770" s="92">
        <f t="shared" si="2277"/>
        <v>-659</v>
      </c>
      <c r="AY770" s="92">
        <f t="shared" si="2277"/>
        <v>-349</v>
      </c>
      <c r="AZ770" s="989">
        <f t="shared" si="2277"/>
        <v>-2438</v>
      </c>
      <c r="BA770" s="92">
        <f t="shared" si="2277"/>
        <v>-147</v>
      </c>
      <c r="BB770" s="92">
        <f t="shared" si="2277"/>
        <v>-150</v>
      </c>
      <c r="BC770" s="92">
        <f t="shared" si="2277"/>
        <v>-21</v>
      </c>
      <c r="BD770" s="92">
        <f t="shared" si="2277"/>
        <v>56</v>
      </c>
      <c r="BE770" s="989">
        <f t="shared" si="2277"/>
        <v>-262</v>
      </c>
      <c r="BF770" s="92">
        <f t="shared" si="2277"/>
        <v>80</v>
      </c>
      <c r="BG770" s="92">
        <f t="shared" si="2278" ref="BG770">BG922+BG923</f>
        <v>13</v>
      </c>
      <c r="BH770" s="464">
        <f>BH922+BH923</f>
        <v>56</v>
      </c>
      <c r="BI770" s="897">
        <v>0</v>
      </c>
      <c r="BJ770" s="989">
        <f>BJ922+BJ923</f>
        <v>149</v>
      </c>
      <c r="BK770" s="897">
        <v>0</v>
      </c>
      <c r="BL770" s="897">
        <v>0</v>
      </c>
      <c r="BM770" s="897">
        <v>0</v>
      </c>
      <c r="BN770" s="897">
        <v>0</v>
      </c>
      <c r="BO770" s="989">
        <f>BO922+BO923</f>
        <v>0</v>
      </c>
      <c r="BP770" s="988">
        <v>0</v>
      </c>
      <c r="BQ770" s="988">
        <v>0</v>
      </c>
      <c r="BR770" s="988">
        <v>0</v>
      </c>
      <c r="BS770" s="305"/>
    </row>
    <row r="771" spans="1:71" s="30" customFormat="1" ht="15">
      <c r="A771" s="436" t="s">
        <v>646</v>
      </c>
      <c r="B771" s="514"/>
      <c r="C771" s="1049"/>
      <c r="D771" s="1049"/>
      <c r="E771" s="1049"/>
      <c r="F771" s="1049"/>
      <c r="G771" s="1049"/>
      <c r="H771" s="334"/>
      <c r="I771" s="334"/>
      <c r="J771" s="334"/>
      <c r="K771" s="334"/>
      <c r="L771" s="1049"/>
      <c r="M771" s="334"/>
      <c r="N771" s="334"/>
      <c r="O771" s="334"/>
      <c r="P771" s="334"/>
      <c r="Q771" s="1049"/>
      <c r="R771" s="334"/>
      <c r="S771" s="334"/>
      <c r="T771" s="334"/>
      <c r="U771" s="334"/>
      <c r="V771" s="1049"/>
      <c r="W771" s="334"/>
      <c r="X771" s="334"/>
      <c r="Y771" s="334"/>
      <c r="Z771" s="334"/>
      <c r="AA771" s="1049"/>
      <c r="AB771" s="334"/>
      <c r="AC771" s="334"/>
      <c r="AD771" s="334"/>
      <c r="AE771" s="334"/>
      <c r="AF771" s="1049"/>
      <c r="AG771" s="334"/>
      <c r="AH771" s="334"/>
      <c r="AI771" s="334"/>
      <c r="AJ771" s="334"/>
      <c r="AK771" s="1049"/>
      <c r="AL771" s="334"/>
      <c r="AM771" s="334"/>
      <c r="AN771" s="334"/>
      <c r="AO771" s="334"/>
      <c r="AP771" s="1049"/>
      <c r="AQ771" s="334"/>
      <c r="AR771" s="334"/>
      <c r="AS771" s="334"/>
      <c r="AT771" s="334"/>
      <c r="AU771" s="1049"/>
      <c r="AV771" s="334"/>
      <c r="AW771" s="334"/>
      <c r="AX771" s="334"/>
      <c r="AY771" s="334"/>
      <c r="AZ771" s="1049"/>
      <c r="BA771" s="334"/>
      <c r="BB771" s="334"/>
      <c r="BC771" s="334"/>
      <c r="BD771" s="334"/>
      <c r="BE771" s="1049"/>
      <c r="BF771" s="334"/>
      <c r="BG771" s="334"/>
      <c r="BH771" s="805"/>
      <c r="BI771" s="950">
        <v>187</v>
      </c>
      <c r="BJ771" s="1049">
        <f>AVERAGE(BF771,BG771,BH771,BI771)</f>
        <v>187</v>
      </c>
      <c r="BK771" s="950">
        <v>206</v>
      </c>
      <c r="BL771" s="950">
        <v>206</v>
      </c>
      <c r="BM771" s="950">
        <v>206</v>
      </c>
      <c r="BN771" s="950">
        <v>206</v>
      </c>
      <c r="BO771" s="1049">
        <f>AVERAGE(BK771,BL771,BM771,BN771)</f>
        <v>206</v>
      </c>
      <c r="BP771" s="1077">
        <v>227</v>
      </c>
      <c r="BQ771" s="1077">
        <v>250</v>
      </c>
      <c r="BR771" s="1077">
        <v>275</v>
      </c>
      <c r="BS771" s="333"/>
    </row>
    <row r="772" spans="1:71" ht="15">
      <c r="A772" s="523"/>
      <c r="B772" s="522"/>
      <c r="C772" s="1076"/>
      <c r="D772" s="1076"/>
      <c r="E772" s="1076"/>
      <c r="F772" s="1076"/>
      <c r="G772" s="1076"/>
      <c r="H772" s="472"/>
      <c r="I772" s="472"/>
      <c r="J772" s="472"/>
      <c r="K772" s="472"/>
      <c r="L772" s="1076"/>
      <c r="M772" s="472"/>
      <c r="N772" s="472"/>
      <c r="O772" s="472"/>
      <c r="P772" s="472"/>
      <c r="Q772" s="1076"/>
      <c r="R772" s="472"/>
      <c r="S772" s="472"/>
      <c r="T772" s="472"/>
      <c r="U772" s="472"/>
      <c r="V772" s="1076"/>
      <c r="W772" s="472"/>
      <c r="X772" s="472"/>
      <c r="Y772" s="472"/>
      <c r="Z772" s="472"/>
      <c r="AA772" s="1076"/>
      <c r="AB772" s="472"/>
      <c r="AC772" s="472"/>
      <c r="AD772" s="472"/>
      <c r="AE772" s="472"/>
      <c r="AF772" s="1076"/>
      <c r="AG772" s="472"/>
      <c r="AH772" s="472"/>
      <c r="AI772" s="472"/>
      <c r="AJ772" s="472"/>
      <c r="AK772" s="1076"/>
      <c r="AL772" s="472"/>
      <c r="AM772" s="472"/>
      <c r="AN772" s="472"/>
      <c r="AO772" s="472"/>
      <c r="AP772" s="1076"/>
      <c r="AQ772" s="472"/>
      <c r="AR772" s="472"/>
      <c r="AS772" s="472"/>
      <c r="AT772" s="472"/>
      <c r="AU772" s="1076"/>
      <c r="AV772" s="472"/>
      <c r="AW772" s="472"/>
      <c r="AX772" s="472"/>
      <c r="AY772" s="472"/>
      <c r="AZ772" s="1076"/>
      <c r="BA772" s="472"/>
      <c r="BB772" s="472"/>
      <c r="BC772" s="472"/>
      <c r="BD772" s="472"/>
      <c r="BE772" s="1076"/>
      <c r="BF772" s="472"/>
      <c r="BG772" s="472"/>
      <c r="BH772" s="473"/>
      <c r="BI772" s="472"/>
      <c r="BJ772" s="1076"/>
      <c r="BK772" s="472"/>
      <c r="BL772" s="472"/>
      <c r="BM772" s="472"/>
      <c r="BN772" s="472"/>
      <c r="BO772" s="1076"/>
      <c r="BP772" s="1076"/>
      <c r="BQ772" s="1076"/>
      <c r="BR772" s="1076"/>
      <c r="BS772" s="303"/>
    </row>
    <row r="773" spans="1:71" s="300" customFormat="1" ht="15">
      <c r="A773" s="434" t="s">
        <v>68</v>
      </c>
      <c r="B773" s="166"/>
      <c r="C773" s="993">
        <f t="shared" si="2279" ref="C773:AH773">C630</f>
        <v>392</v>
      </c>
      <c r="D773" s="993">
        <f t="shared" si="2279"/>
        <v>367</v>
      </c>
      <c r="E773" s="993">
        <f t="shared" si="2279"/>
        <v>367</v>
      </c>
      <c r="F773" s="993">
        <f t="shared" si="2279"/>
        <v>373</v>
      </c>
      <c r="G773" s="993">
        <f t="shared" si="2279"/>
        <v>367</v>
      </c>
      <c r="H773" s="305">
        <f t="shared" si="2279"/>
        <v>87</v>
      </c>
      <c r="I773" s="305">
        <f t="shared" si="2279"/>
        <v>84</v>
      </c>
      <c r="J773" s="305">
        <f t="shared" si="2279"/>
        <v>78</v>
      </c>
      <c r="K773" s="305">
        <f t="shared" si="2279"/>
        <v>73</v>
      </c>
      <c r="L773" s="993">
        <f t="shared" si="2279"/>
        <v>322</v>
      </c>
      <c r="M773" s="305">
        <f t="shared" si="2279"/>
        <v>73</v>
      </c>
      <c r="N773" s="305">
        <f t="shared" si="2279"/>
        <v>73</v>
      </c>
      <c r="O773" s="305">
        <f t="shared" si="2279"/>
        <v>73</v>
      </c>
      <c r="P773" s="305">
        <f t="shared" si="2279"/>
        <v>73</v>
      </c>
      <c r="Q773" s="993">
        <f t="shared" si="2279"/>
        <v>292</v>
      </c>
      <c r="R773" s="305">
        <f t="shared" si="2279"/>
        <v>73</v>
      </c>
      <c r="S773" s="305">
        <f t="shared" si="2279"/>
        <v>72</v>
      </c>
      <c r="T773" s="305">
        <f t="shared" si="2279"/>
        <v>73</v>
      </c>
      <c r="U773" s="305">
        <f t="shared" si="2279"/>
        <v>77</v>
      </c>
      <c r="V773" s="993">
        <f t="shared" si="2279"/>
        <v>295</v>
      </c>
      <c r="W773" s="305">
        <f t="shared" si="2279"/>
        <v>85</v>
      </c>
      <c r="X773" s="305">
        <f t="shared" si="2279"/>
        <v>83</v>
      </c>
      <c r="Y773" s="305">
        <f t="shared" si="2279"/>
        <v>83</v>
      </c>
      <c r="Z773" s="305">
        <f t="shared" si="2279"/>
        <v>84</v>
      </c>
      <c r="AA773" s="993">
        <f t="shared" si="2279"/>
        <v>335</v>
      </c>
      <c r="AB773" s="305">
        <f t="shared" si="2279"/>
        <v>83</v>
      </c>
      <c r="AC773" s="305">
        <f t="shared" si="2279"/>
        <v>86</v>
      </c>
      <c r="AD773" s="305">
        <f t="shared" si="2279"/>
        <v>82</v>
      </c>
      <c r="AE773" s="305">
        <f t="shared" si="2279"/>
        <v>81</v>
      </c>
      <c r="AF773" s="993">
        <f t="shared" si="2279"/>
        <v>332</v>
      </c>
      <c r="AG773" s="305">
        <f t="shared" si="2279"/>
        <v>83</v>
      </c>
      <c r="AH773" s="305">
        <f t="shared" si="2279"/>
        <v>82</v>
      </c>
      <c r="AI773" s="305">
        <f t="shared" si="2280" ref="AI773:BC773">AI630</f>
        <v>80</v>
      </c>
      <c r="AJ773" s="305">
        <f t="shared" si="2280"/>
        <v>82</v>
      </c>
      <c r="AK773" s="993">
        <f t="shared" si="2280"/>
        <v>327</v>
      </c>
      <c r="AL773" s="305">
        <f t="shared" si="2280"/>
        <v>81</v>
      </c>
      <c r="AM773" s="305">
        <f t="shared" si="2280"/>
        <v>79</v>
      </c>
      <c r="AN773" s="305">
        <f t="shared" si="2280"/>
        <v>78</v>
      </c>
      <c r="AO773" s="305">
        <f t="shared" si="2280"/>
        <v>80</v>
      </c>
      <c r="AP773" s="993">
        <f t="shared" si="2280"/>
        <v>318</v>
      </c>
      <c r="AQ773" s="305">
        <f t="shared" si="2280"/>
        <v>86</v>
      </c>
      <c r="AR773" s="305">
        <f t="shared" si="2280"/>
        <v>91</v>
      </c>
      <c r="AS773" s="305">
        <f t="shared" si="2280"/>
        <v>69</v>
      </c>
      <c r="AT773" s="305">
        <f t="shared" si="2280"/>
        <v>84</v>
      </c>
      <c r="AU773" s="993">
        <f t="shared" si="2280"/>
        <v>330</v>
      </c>
      <c r="AV773" s="305">
        <f t="shared" si="2280"/>
        <v>83</v>
      </c>
      <c r="AW773" s="305">
        <f t="shared" si="2280"/>
        <v>83</v>
      </c>
      <c r="AX773" s="305">
        <f t="shared" si="2280"/>
        <v>85</v>
      </c>
      <c r="AY773" s="305">
        <f t="shared" si="2280"/>
        <v>84</v>
      </c>
      <c r="AZ773" s="993">
        <f t="shared" si="2280"/>
        <v>335</v>
      </c>
      <c r="BA773" s="305">
        <f t="shared" si="2280"/>
        <v>86</v>
      </c>
      <c r="BB773" s="305">
        <f t="shared" si="2280"/>
        <v>98</v>
      </c>
      <c r="BC773" s="305">
        <f t="shared" si="2280"/>
        <v>88</v>
      </c>
      <c r="BD773" s="305">
        <f t="shared" si="2281" ref="BD773:BE773">BD630</f>
        <v>107</v>
      </c>
      <c r="BE773" s="993">
        <f t="shared" si="2281"/>
        <v>379</v>
      </c>
      <c r="BF773" s="305">
        <f>BF630</f>
        <v>97</v>
      </c>
      <c r="BG773" s="305">
        <f>BG630</f>
        <v>98</v>
      </c>
      <c r="BH773" s="743">
        <f>BH630</f>
        <v>104</v>
      </c>
      <c r="BI773" s="92">
        <f>MAX(0,BI774*AVERAGE(BH763,BI763)*BI3/BJ3)</f>
        <v>89.398863387978139</v>
      </c>
      <c r="BJ773" s="989">
        <f>SUM(BF773,BG773,BH773,BI773)</f>
        <v>388.39886338797817</v>
      </c>
      <c r="BK773" s="92">
        <f>MAX(0,BK774*AVERAGE(BJ763,BK763)*BK3/BO3)</f>
        <v>87.695013698630135</v>
      </c>
      <c r="BL773" s="92">
        <f>MAX(0,BL774*AVERAGE(BK763,BL763)*BL3/BO3)</f>
        <v>88.669402739726024</v>
      </c>
      <c r="BM773" s="92">
        <f>MAX(0,BM774*AVERAGE(BL763,BM763)*BM3/BO3)</f>
        <v>89.643791780821914</v>
      </c>
      <c r="BN773" s="92">
        <f>MAX(0,BN774*AVERAGE(BM763,BN763)*BN3/BO3)</f>
        <v>89.643791780821914</v>
      </c>
      <c r="BO773" s="989">
        <f>SUM(BK773,BL773,BM773,BN773)</f>
        <v>355.65199999999999</v>
      </c>
      <c r="BP773" s="989">
        <f>MAX(0,BP774*AVERAGE(BO763,BP763))</f>
        <v>355.65199999999999</v>
      </c>
      <c r="BQ773" s="989">
        <f>MAX(0,BQ774*AVERAGE(BP763,BQ763))</f>
        <v>355.65199999999999</v>
      </c>
      <c r="BR773" s="989">
        <f>MAX(0,BR774*AVERAGE(BQ763,BR763))</f>
        <v>355.65199999999999</v>
      </c>
      <c r="BS773" s="305"/>
    </row>
    <row r="774" spans="1:71" s="25" customFormat="1" ht="15">
      <c r="A774" s="435" t="s">
        <v>647</v>
      </c>
      <c r="B774" s="488"/>
      <c r="C774" s="1016"/>
      <c r="D774" s="1015">
        <f>IFERROR(IF(D773/AVERAGE(C763,D763)&lt;0,"n/a",D773/AVERAGE(C763,D763)),"n/a")</f>
        <v>0.062108647825351158</v>
      </c>
      <c r="E774" s="1015">
        <f>IFERROR(IF(E773/AVERAGE(D763,E763)&lt;0,"n/a",E773/AVERAGE(D763,E763)),"n/a")</f>
        <v>0.062119160460392689</v>
      </c>
      <c r="F774" s="1015">
        <f>IFERROR(IF(F773/AVERAGE(E763,F763)&lt;0,"n/a",F773/AVERAGE(E763,F763)),"n/a")</f>
        <v>0.062348516506477228</v>
      </c>
      <c r="G774" s="1015">
        <f>IFERROR(IF(G773/AVERAGE(F763,G763)&lt;0,"n/a",G773/AVERAGE(F763,G763)),"n/a")</f>
        <v>0.059879262522434328</v>
      </c>
      <c r="H774" s="158">
        <f>IFERROR(IF(H773/AVERAGE(G763,H763)&lt;0,"n/a",H773/AVERAGE(G763,H763)*L3/H3),"n/a")</f>
        <v>0.056904013117221729</v>
      </c>
      <c r="I774" s="158">
        <f>IFERROR(IF(I773/AVERAGE(H763,I763)&lt;0,"n/a",I773/AVERAGE(H763,I763)*L3/I3),"n/a")</f>
        <v>0.055939411742167836</v>
      </c>
      <c r="J774" s="158">
        <f>IFERROR(IF(J773/AVERAGE(I763,J763)&lt;0,"n/a",J773/AVERAGE(I763,J763)*L3/J3),"n/a")</f>
        <v>0.056055886557219534</v>
      </c>
      <c r="K774" s="158">
        <f>IFERROR(IF(K773/AVERAGE(J763,K763)&lt;0,"n/a",K773/AVERAGE(J763,K763)*L3/K3),"n/a")</f>
        <v>0.056046359984013798</v>
      </c>
      <c r="L774" s="1015">
        <f>IFERROR(IF(L773/AVERAGE(H763,I763,J763,K763)&lt;0,"n/a",L773/AVERAGE(H763,I763,J763,K763)),"n/a")</f>
        <v>0.057548813725928245</v>
      </c>
      <c r="M774" s="158">
        <f>IFERROR(IF(M773/AVERAGE(L763,M763)&lt;0,"n/a",M773/AVERAGE(L763,M763)*Q3/M3),"n/a")</f>
        <v>0.057297378663742127</v>
      </c>
      <c r="N774" s="158">
        <f>IFERROR(IF(N773/AVERAGE(M763,N763)&lt;0,"n/a",N773/AVERAGE(M763,N763)*Q3/N3),"n/a")</f>
        <v>0.056416608439729822</v>
      </c>
      <c r="O774" s="158">
        <f>IFERROR(IF(O773/AVERAGE(N763,O763)&lt;0,"n/a",O773/AVERAGE(N763,O763)*Q3/O3),"n/a")</f>
        <v>0.055905716671632327</v>
      </c>
      <c r="P774" s="158">
        <f>IFERROR(IF(P773/AVERAGE(O763,P763)&lt;0,"n/a",P773/AVERAGE(O763,P763)*Q3/P3),"n/a")</f>
        <v>0.056242269194560893</v>
      </c>
      <c r="Q774" s="1015">
        <f>IFERROR(IF(Q773/AVERAGE(M763,N763,O763,P763)&lt;0,"n/a",Q773/AVERAGE(M763,N763,O763,P763)),"n/a")</f>
        <v>0.056482421780550317</v>
      </c>
      <c r="R774" s="158">
        <f>IFERROR(IF(R773/AVERAGE(Q763,R763)&lt;0,"n/a",R773/AVERAGE(Q763,R763)*V3/R3),"n/a")</f>
        <v>0.057389444019623842</v>
      </c>
      <c r="S774" s="158">
        <f>IFERROR(IF(S773/AVERAGE(R763,S763)&lt;0,"n/a",S773/AVERAGE(R763,S763)*V3/S3),"n/a")</f>
        <v>0.056686388877834518</v>
      </c>
      <c r="T774" s="158">
        <f>IFERROR(IF(T773/AVERAGE(S763,T763)&lt;0,"n/a",T773/AVERAGE(S763,T763)*V3/T3),"n/a")</f>
        <v>0.056837859571046263</v>
      </c>
      <c r="U774" s="158">
        <f>IFERROR(IF(U773/AVERAGE(T763,U763)&lt;0,"n/a",U773/AVERAGE(T763,U763)*V3/U3),"n/a")</f>
        <v>0.053474048521693594</v>
      </c>
      <c r="V774" s="1015">
        <f>IFERROR(IF(V773/AVERAGE(R763,S763,T763,U763)&lt;0,"n/a",V773/AVERAGE(R763,S763,T763,U763)),"n/a")</f>
        <v>0.054443111562240472</v>
      </c>
      <c r="W774" s="158">
        <f>IFERROR(IF(W773/AVERAGE(V763,W763)&lt;0,"n/a",W773/AVERAGE(V763,W763)*AA3/W3),"n/a")</f>
        <v>0.054316902579724609</v>
      </c>
      <c r="X774" s="158">
        <f>IFERROR(IF(X773/AVERAGE(W763,X763)&lt;0,"n/a",X773/AVERAGE(W763,X763)*AA3/X3),"n/a")</f>
        <v>0.052451880874757821</v>
      </c>
      <c r="Y774" s="158">
        <f>IFERROR(IF(Y773/AVERAGE(X763,Y763)&lt;0,"n/a",Y773/AVERAGE(X763,Y763)*AA3/Y3),"n/a")</f>
        <v>0.051869493307217386</v>
      </c>
      <c r="Z774" s="158">
        <f>IFERROR(IF(Z773/AVERAGE(Y763,Z763)&lt;0,"n/a",Z773/AVERAGE(Y763,Z763)*AA3/Z3),"n/a")</f>
        <v>0.052486159471646171</v>
      </c>
      <c r="AA774" s="1015">
        <f>IFERROR(IF(AA773/AVERAGE(W763,X763,Y763,Z763)&lt;0,"n/a",AA773/AVERAGE(W763,X763,Y763,Z763)),"n/a")</f>
        <v>0.052770448548812667</v>
      </c>
      <c r="AB774" s="158">
        <f>IFERROR(IF(AB773/AVERAGE(AA763,AB763)&lt;0,"n/a",AB773/AVERAGE(AA763,AB763)*AF3/AB3),"n/a")</f>
        <v>0.051013277428371771</v>
      </c>
      <c r="AC774" s="158">
        <f>IFERROR(IF(AC773/AVERAGE(AB763,AC763)&lt;0,"n/a",AC773/AVERAGE(AB763,AC763)*AF3/AC3),"n/a")</f>
        <v>0.051890944707793145</v>
      </c>
      <c r="AD774" s="158">
        <f>IFERROR(IF(AD773/AVERAGE(AC763,AD763)&lt;0,"n/a",AD773/AVERAGE(AC763,AD763)*AF3/AD3),"n/a")</f>
        <v>0.050445974097770463</v>
      </c>
      <c r="AE774" s="158">
        <f>IFERROR(IF(AE773/AVERAGE(AD763,AE763)&lt;0,"n/a",AE773/AVERAGE(AD763,AE763)*AF3/AE3),"n/a")</f>
        <v>0.049819191636644285</v>
      </c>
      <c r="AF774" s="1015">
        <f>IFERROR(IF(AF773/AVERAGE(AB763,AC763,AD763,AE763)&lt;0,"n/a",AF773/AVERAGE(AB763,AC763,AD763,AE763)),"n/a")</f>
        <v>0.05069476255916934</v>
      </c>
      <c r="AG774" s="158">
        <f>IFERROR(IF(AG773/AVERAGE(AF763,AG763)&lt;0,"n/a",AG773/AVERAGE(AF763,AG763)*AK3/AG3),"n/a")</f>
        <v>0.052171591926706617</v>
      </c>
      <c r="AH774" s="158">
        <f>IFERROR(IF(AH773/AVERAGE(AG763,AH763)&lt;0,"n/a",AH773/AVERAGE(AG763,AH763)*AK3/AH3),"n/a")</f>
        <v>0.050286843345478012</v>
      </c>
      <c r="AI774" s="158">
        <f>IFERROR(IF(AI773/AVERAGE(AH763,AI763)&lt;0,"n/a",AI773/AVERAGE(AH763,AI763)*AK3/AI3),"n/a")</f>
        <v>0.047879213206792295</v>
      </c>
      <c r="AJ774" s="158">
        <f>IFERROR(IF(AJ773/AVERAGE(AI763,AJ763)&lt;0,"n/a",AJ773/AVERAGE(AI763,AJ763)*AK3/AJ3),"n/a")</f>
        <v>0.049065091163037741</v>
      </c>
      <c r="AK774" s="1015">
        <f>IFERROR(IF(AK773/AVERAGE(AG763,AH763,AI763,AJ763)&lt;0,"n/a",AK773/AVERAGE(AG763,AH763,AI763,AJ763)),"n/a")</f>
        <v>0.049654544074102192</v>
      </c>
      <c r="AL774" s="158">
        <f>IFERROR(IF(AL773/AVERAGE(AK763,AL763)&lt;0,"n/a",AL773/AVERAGE(AK763,AL763)*AP3/AL3),"n/a")</f>
        <v>0.049122469810045206</v>
      </c>
      <c r="AM774" s="158">
        <f>IFERROR(IF(AM773/AVERAGE(AL763,AM763)&lt;0,"n/a",AM773/AVERAGE(AL763,AM763)*AP3/AM3),"n/a")</f>
        <v>0.047898735770899793</v>
      </c>
      <c r="AN774" s="158">
        <f>IFERROR(IF(AN773/AVERAGE(AM763,AN763)&lt;0,"n/a",AN773/AVERAGE(AM763,AN763)*AP3/AN3),"n/a")</f>
        <v>0.046771323811302577</v>
      </c>
      <c r="AO774" s="158">
        <f>IFERROR(IF(AO773/AVERAGE(AN763,AO763)&lt;0,"n/a",AO773/AVERAGE(AN763,AO763)*AP3/AO3),"n/a")</f>
        <v>0.044019484033916652</v>
      </c>
      <c r="AP774" s="1015">
        <f>IFERROR(IF(AP773/AVERAGE(AL763,AM763,AN763,AO763)&lt;0,"n/a",AP773/AVERAGE(AL763,AM763,AN763,AO763)),"n/a")</f>
        <v>0.045875861074043352</v>
      </c>
      <c r="AQ774" s="158">
        <f>IFERROR(IF(AQ773/AVERAGE(AP763,AQ763)&lt;0,"n/a",AQ773/AVERAGE(AP763,AQ763)*AU3/AQ3),"n/a")</f>
        <v>0.044090484517764719</v>
      </c>
      <c r="AR774" s="158">
        <f>IFERROR(IF(AR773/AVERAGE(AQ763,AR763)&lt;0,"n/a",AR773/AVERAGE(AQ763,AR763)*AU3/AR3),"n/a")</f>
        <v>0.045647823911955973</v>
      </c>
      <c r="AS774" s="158">
        <f>IFERROR(IF(AS773/AVERAGE(AR763,AS763)&lt;0,"n/a",AS773/AVERAGE(AR763,AS763)*AU3/AS3),"n/a")</f>
        <v>0.034270155232849271</v>
      </c>
      <c r="AT774" s="158">
        <f>IFERROR(IF(AT773/AVERAGE(AS763,AT763)&lt;0,"n/a",AT773/AVERAGE(AS763,AT763)*AU3/AT3),"n/a")</f>
        <v>0.041772483023968084</v>
      </c>
      <c r="AU774" s="1015">
        <f>IFERROR(IF(AU773/AVERAGE(AQ763,AR763,AS763,AT763)&lt;0,"n/a",AU773/AVERAGE(AQ763,AR763,AS763,AT763)),"n/a")</f>
        <v>0.041317140353073746</v>
      </c>
      <c r="AV774" s="158">
        <f>IFERROR(IF(AV773/AVERAGE(AU763,AV763)&lt;0,"n/a",AV773/AVERAGE(AU763,AV763)*AZ3/AV3),"n/a")</f>
        <v>0.04221093624817996</v>
      </c>
      <c r="AW774" s="158">
        <f>IFERROR(IF(AW773/AVERAGE(AV763,AW763)&lt;0,"n/a",AW773/AVERAGE(AV763,AW763)*AZ3/AW3),"n/a")</f>
        <v>0.041762790931705186</v>
      </c>
      <c r="AX774" s="158">
        <f>IFERROR(IF(AX773/AVERAGE(AW763,AX763)&lt;0,"n/a",AX773/AVERAGE(AW763,AX763)*AZ3/AX3),"n/a")</f>
        <v>0.042320168271263753</v>
      </c>
      <c r="AY774" s="158">
        <f>IFERROR(IF(AY773/AVERAGE(AX763,AY763)&lt;0,"n/a",AY773/AVERAGE(AX763,AY763)*AZ3/AY3),"n/a")</f>
        <v>0.041838035222549419</v>
      </c>
      <c r="AZ774" s="1015">
        <f>IFERROR(IF(AZ773/AVERAGE(AV763,AW763,AX763,AY763)&lt;0,"n/a",AZ773/AVERAGE(AV763,AW763,AX763,AY763)),"n/a")</f>
        <v>0.042040534605007215</v>
      </c>
      <c r="BA774" s="158">
        <f>IFERROR(IF(BA773/AVERAGE(AZ763,BA763)&lt;0,"n/a",BA773/AVERAGE(AZ763,BA763)*BE3/BA3),"n/a")</f>
        <v>0.042492419319904697</v>
      </c>
      <c r="BB774" s="158">
        <f>IFERROR(IF(BB773/AVERAGE(BA763,BB763)&lt;0,"n/a",BB773/AVERAGE(BA763,BB763)*BE3/BB3),"n/a")</f>
        <v>0.047933287369907089</v>
      </c>
      <c r="BC774" s="158">
        <f>IFERROR(IF(BC773/AVERAGE(BB763,BC763)&lt;0,"n/a",BC773/AVERAGE(BB763,BC763)*BE3/BC3),"n/a")</f>
        <v>0.043929592297276963</v>
      </c>
      <c r="BD774" s="158">
        <f>IFERROR(IF(BD773/AVERAGE(BC763,BD763)&lt;0,"n/a",BD773/AVERAGE(BC763,BD763)*BE3/BD3),"n/a")</f>
        <v>0.053437924164805806</v>
      </c>
      <c r="BE774" s="1015">
        <f>IFERROR(IF(BE773/AVERAGE(BA763,BB763,BC763,BD763)&lt;0,"n/a",BE773/AVERAGE(BA763,BB763,BC763,BD763)),"n/a")</f>
        <v>0.046950974015918731</v>
      </c>
      <c r="BF774" s="158">
        <f>IFERROR(IF(BF773/AVERAGE(BE763,BF763)&lt;0,"n/a",BF773/AVERAGE(BE763,BF763)*BJ3/BF3),"n/a")</f>
        <v>0.049134995986381373</v>
      </c>
      <c r="BG774" s="158">
        <f>IFERROR(IF(BG773/AVERAGE(BF763,BG763)&lt;0,"n/a",BG773/AVERAGE(BF763,BG763)*BJ3/BG3),"n/a")</f>
        <v>0.049207721117833482</v>
      </c>
      <c r="BH774" s="750">
        <f>IFERROR(IF(BH773/AVERAGE(BG763,BH763)&lt;0,"n/a",BH773/AVERAGE(BG763,BH763)*BJ3/BH3),"n/a")</f>
        <v>0.051189499589827735</v>
      </c>
      <c r="BI774" s="929">
        <v>0.043999999999999997</v>
      </c>
      <c r="BJ774" s="1016">
        <f>IFERROR(IF(BJ773/AVERAGE(BF763,BG763,BH763,BI763)&lt;0,"n/a",BJ773/AVERAGE(BF763,BG763,BH763,BI763)),"n/a")</f>
        <v>0.048269292659911534</v>
      </c>
      <c r="BK774" s="929">
        <v>0.043999999999999997</v>
      </c>
      <c r="BL774" s="929">
        <v>0.043999999999999997</v>
      </c>
      <c r="BM774" s="929">
        <v>0.043999999999999997</v>
      </c>
      <c r="BN774" s="929">
        <v>0.043999999999999997</v>
      </c>
      <c r="BO774" s="1016">
        <f>IFERROR(IF(BO773/AVERAGE(BK763,BL763,BM763,BN763)&lt;0,"n/a",BO773/AVERAGE(BK763,BL763,BM763,BN763)),"n/a")</f>
        <v>0.043999999999999997</v>
      </c>
      <c r="BP774" s="1039">
        <v>0.043999999999999997</v>
      </c>
      <c r="BQ774" s="1039">
        <v>0.043999999999999997</v>
      </c>
      <c r="BR774" s="1039">
        <v>0.043999999999999997</v>
      </c>
      <c r="BS774" s="158"/>
    </row>
    <row r="775" spans="1:71" ht="15">
      <c r="A775" s="522"/>
      <c r="B775" s="522"/>
      <c r="C775" s="1076"/>
      <c r="D775" s="1076"/>
      <c r="E775" s="1076"/>
      <c r="F775" s="1076"/>
      <c r="G775" s="1076"/>
      <c r="H775" s="472"/>
      <c r="I775" s="472"/>
      <c r="J775" s="472"/>
      <c r="K775" s="472"/>
      <c r="L775" s="1076"/>
      <c r="M775" s="472"/>
      <c r="N775" s="472"/>
      <c r="O775" s="472"/>
      <c r="P775" s="472"/>
      <c r="Q775" s="1076"/>
      <c r="R775" s="472"/>
      <c r="S775" s="472"/>
      <c r="T775" s="472"/>
      <c r="U775" s="472"/>
      <c r="V775" s="1076"/>
      <c r="W775" s="472"/>
      <c r="X775" s="472"/>
      <c r="Y775" s="472"/>
      <c r="Z775" s="472"/>
      <c r="AA775" s="1076"/>
      <c r="AB775" s="472"/>
      <c r="AC775" s="472"/>
      <c r="AD775" s="472"/>
      <c r="AE775" s="472"/>
      <c r="AF775" s="1076"/>
      <c r="AG775" s="472"/>
      <c r="AH775" s="472"/>
      <c r="AI775" s="472"/>
      <c r="AJ775" s="472"/>
      <c r="AK775" s="1076"/>
      <c r="AL775" s="472"/>
      <c r="AM775" s="472"/>
      <c r="AN775" s="472"/>
      <c r="AO775" s="472"/>
      <c r="AP775" s="1076"/>
      <c r="AQ775" s="472"/>
      <c r="AR775" s="472"/>
      <c r="AS775" s="472"/>
      <c r="AT775" s="472"/>
      <c r="AU775" s="1076"/>
      <c r="AV775" s="472"/>
      <c r="AW775" s="472"/>
      <c r="AX775" s="472"/>
      <c r="AY775" s="472"/>
      <c r="AZ775" s="1076"/>
      <c r="BA775" s="472"/>
      <c r="BB775" s="472"/>
      <c r="BC775" s="472"/>
      <c r="BD775" s="472"/>
      <c r="BE775" s="1076"/>
      <c r="BF775" s="472"/>
      <c r="BG775" s="472"/>
      <c r="BH775" s="473"/>
      <c r="BI775" s="472"/>
      <c r="BJ775" s="1076"/>
      <c r="BK775" s="472"/>
      <c r="BL775" s="472"/>
      <c r="BM775" s="472"/>
      <c r="BN775" s="472"/>
      <c r="BO775" s="1076"/>
      <c r="BP775" s="1076"/>
      <c r="BQ775" s="1076"/>
      <c r="BR775" s="1076"/>
      <c r="BS775" s="303"/>
    </row>
    <row r="776" spans="1:71" s="17" customFormat="1" ht="15">
      <c r="A776" s="818" t="s">
        <v>110</v>
      </c>
      <c r="B776" s="818"/>
      <c r="C776" s="837"/>
      <c r="D776" s="837"/>
      <c r="E776" s="837"/>
      <c r="F776" s="837"/>
      <c r="G776" s="837"/>
      <c r="H776" s="837"/>
      <c r="I776" s="837"/>
      <c r="J776" s="837"/>
      <c r="K776" s="837"/>
      <c r="L776" s="837"/>
      <c r="M776" s="837"/>
      <c r="N776" s="837"/>
      <c r="O776" s="837"/>
      <c r="P776" s="837"/>
      <c r="Q776" s="837"/>
      <c r="R776" s="837"/>
      <c r="S776" s="837"/>
      <c r="T776" s="837"/>
      <c r="U776" s="837"/>
      <c r="V776" s="837"/>
      <c r="W776" s="837"/>
      <c r="X776" s="837"/>
      <c r="Y776" s="837"/>
      <c r="Z776" s="837"/>
      <c r="AA776" s="837"/>
      <c r="AB776" s="837"/>
      <c r="AC776" s="837"/>
      <c r="AD776" s="837"/>
      <c r="AE776" s="837"/>
      <c r="AF776" s="837"/>
      <c r="AG776" s="837"/>
      <c r="AH776" s="837"/>
      <c r="AI776" s="837"/>
      <c r="AJ776" s="837"/>
      <c r="AK776" s="837"/>
      <c r="AL776" s="837"/>
      <c r="AM776" s="837"/>
      <c r="AN776" s="837"/>
      <c r="AO776" s="837"/>
      <c r="AP776" s="837"/>
      <c r="AQ776" s="837"/>
      <c r="AR776" s="837"/>
      <c r="AS776" s="837"/>
      <c r="AT776" s="837"/>
      <c r="AU776" s="837"/>
      <c r="AV776" s="837"/>
      <c r="AW776" s="837"/>
      <c r="AX776" s="837"/>
      <c r="AY776" s="837"/>
      <c r="AZ776" s="837"/>
      <c r="BA776" s="837"/>
      <c r="BB776" s="837"/>
      <c r="BC776" s="837"/>
      <c r="BD776" s="837"/>
      <c r="BE776" s="837"/>
      <c r="BF776" s="837"/>
      <c r="BG776" s="837"/>
      <c r="BH776" s="838"/>
      <c r="BI776" s="837"/>
      <c r="BJ776" s="837"/>
      <c r="BK776" s="837"/>
      <c r="BL776" s="837"/>
      <c r="BM776" s="837"/>
      <c r="BN776" s="837"/>
      <c r="BO776" s="837"/>
      <c r="BP776" s="837"/>
      <c r="BQ776" s="837"/>
      <c r="BR776" s="837"/>
      <c r="BS776" s="457"/>
    </row>
    <row r="777" spans="1:71" s="300" customFormat="1" ht="15" hidden="1" outlineLevel="1">
      <c r="A777" s="305" t="s">
        <v>111</v>
      </c>
      <c r="B777" s="166"/>
      <c r="C777" s="988">
        <v>407</v>
      </c>
      <c r="D777" s="988">
        <v>634</v>
      </c>
      <c r="E777" s="988">
        <v>171</v>
      </c>
      <c r="F777" s="988">
        <v>2470</v>
      </c>
      <c r="G777" s="988">
        <v>3211</v>
      </c>
      <c r="H777" s="92"/>
      <c r="I777" s="92"/>
      <c r="J777" s="92"/>
      <c r="K777" s="92"/>
      <c r="L777" s="988">
        <v>3631</v>
      </c>
      <c r="M777" s="92"/>
      <c r="N777" s="92"/>
      <c r="O777" s="92"/>
      <c r="P777" s="92"/>
      <c r="Q777" s="988">
        <v>1770</v>
      </c>
      <c r="R777" s="92"/>
      <c r="S777" s="92"/>
      <c r="T777" s="92"/>
      <c r="U777" s="92"/>
      <c r="V777" s="988">
        <v>1717</v>
      </c>
      <c r="W777" s="92"/>
      <c r="X777" s="92"/>
      <c r="Y777" s="92"/>
      <c r="Z777" s="92"/>
      <c r="AA777" s="988">
        <v>3377</v>
      </c>
      <c r="AB777" s="92"/>
      <c r="AC777" s="92"/>
      <c r="AD777" s="92"/>
      <c r="AE777" s="92"/>
      <c r="AF777" s="988">
        <v>3404</v>
      </c>
      <c r="AG777" s="92"/>
      <c r="AH777" s="92"/>
      <c r="AI777" s="92"/>
      <c r="AJ777" s="92"/>
      <c r="AK777" s="988">
        <v>4411</v>
      </c>
      <c r="AL777" s="92"/>
      <c r="AM777" s="92"/>
      <c r="AN777" s="92"/>
      <c r="AO777" s="92"/>
      <c r="AP777" s="988">
        <v>6246</v>
      </c>
      <c r="AQ777" s="92"/>
      <c r="AR777" s="92"/>
      <c r="AS777" s="92"/>
      <c r="AT777" s="92"/>
      <c r="AU777" s="988">
        <v>7713</v>
      </c>
      <c r="AV777" s="92"/>
      <c r="AW777" s="92"/>
      <c r="AX777" s="92"/>
      <c r="AY777" s="92"/>
      <c r="AZ777" s="988">
        <v>-1583</v>
      </c>
      <c r="BA777" s="92"/>
      <c r="BB777" s="92"/>
      <c r="BC777" s="92"/>
      <c r="BD777" s="92"/>
      <c r="BE777" s="988">
        <v>-426</v>
      </c>
      <c r="BF777" s="92"/>
      <c r="BG777" s="92"/>
      <c r="BH777" s="464"/>
      <c r="BI777" s="92"/>
      <c r="BJ777" s="989"/>
      <c r="BK777" s="92"/>
      <c r="BL777" s="92"/>
      <c r="BM777" s="92"/>
      <c r="BN777" s="92"/>
      <c r="BO777" s="989"/>
      <c r="BP777" s="989"/>
      <c r="BQ777" s="989"/>
      <c r="BR777" s="989"/>
      <c r="BS777" s="305"/>
    </row>
    <row r="778" spans="1:71" s="300" customFormat="1" ht="15" hidden="1" outlineLevel="1">
      <c r="A778" s="305" t="s">
        <v>112</v>
      </c>
      <c r="B778" s="166"/>
      <c r="C778" s="988">
        <v>15267</v>
      </c>
      <c r="D778" s="988">
        <v>15639</v>
      </c>
      <c r="E778" s="988">
        <v>15592</v>
      </c>
      <c r="F778" s="988">
        <v>17279</v>
      </c>
      <c r="G778" s="988">
        <v>18276</v>
      </c>
      <c r="H778" s="92"/>
      <c r="I778" s="92"/>
      <c r="J778" s="92"/>
      <c r="K778" s="92"/>
      <c r="L778" s="988">
        <v>17319</v>
      </c>
      <c r="M778" s="92"/>
      <c r="N778" s="92"/>
      <c r="O778" s="92"/>
      <c r="P778" s="92"/>
      <c r="Q778" s="988">
        <v>16486</v>
      </c>
      <c r="R778" s="92"/>
      <c r="S778" s="92"/>
      <c r="T778" s="92"/>
      <c r="U778" s="92"/>
      <c r="V778" s="988">
        <v>16819</v>
      </c>
      <c r="W778" s="92"/>
      <c r="X778" s="92"/>
      <c r="Y778" s="92"/>
      <c r="Z778" s="92"/>
      <c r="AA778" s="988">
        <v>18630</v>
      </c>
      <c r="AB778" s="92"/>
      <c r="AC778" s="92"/>
      <c r="AD778" s="92"/>
      <c r="AE778" s="92"/>
      <c r="AF778" s="988">
        <v>18147</v>
      </c>
      <c r="AG778" s="92"/>
      <c r="AH778" s="92"/>
      <c r="AI778" s="92"/>
      <c r="AJ778" s="92"/>
      <c r="AK778" s="988">
        <v>20400</v>
      </c>
      <c r="AL778" s="92"/>
      <c r="AM778" s="92"/>
      <c r="AN778" s="92"/>
      <c r="AO778" s="92"/>
      <c r="AP778" s="988">
        <v>21380</v>
      </c>
      <c r="AQ778" s="92"/>
      <c r="AR778" s="92"/>
      <c r="AS778" s="92"/>
      <c r="AT778" s="92"/>
      <c r="AU778" s="988">
        <v>21508</v>
      </c>
      <c r="AV778" s="92"/>
      <c r="AW778" s="92"/>
      <c r="AX778" s="92"/>
      <c r="AY778" s="92"/>
      <c r="AZ778" s="988">
        <v>15276</v>
      </c>
      <c r="BA778" s="92"/>
      <c r="BB778" s="92"/>
      <c r="BC778" s="92"/>
      <c r="BD778" s="92"/>
      <c r="BE778" s="988">
        <v>14560</v>
      </c>
      <c r="BF778" s="92"/>
      <c r="BG778" s="92"/>
      <c r="BH778" s="464"/>
      <c r="BI778" s="92"/>
      <c r="BJ778" s="989"/>
      <c r="BK778" s="92"/>
      <c r="BL778" s="92"/>
      <c r="BM778" s="92"/>
      <c r="BN778" s="92"/>
      <c r="BO778" s="989"/>
      <c r="BP778" s="989"/>
      <c r="BQ778" s="989"/>
      <c r="BR778" s="989"/>
      <c r="BS778" s="305"/>
    </row>
    <row r="779" spans="1:71" s="22" customFormat="1" ht="15" collapsed="1">
      <c r="A779" s="819"/>
      <c r="B779" s="508"/>
      <c r="C779" s="1010"/>
      <c r="D779" s="1010"/>
      <c r="E779" s="1010"/>
      <c r="F779" s="1010"/>
      <c r="G779" s="1010"/>
      <c r="H779" s="840"/>
      <c r="I779" s="840"/>
      <c r="J779" s="840"/>
      <c r="K779" s="840"/>
      <c r="L779" s="1010"/>
      <c r="M779" s="840"/>
      <c r="N779" s="840"/>
      <c r="O779" s="840"/>
      <c r="P779" s="840"/>
      <c r="Q779" s="1010"/>
      <c r="R779" s="840"/>
      <c r="S779" s="840"/>
      <c r="T779" s="840"/>
      <c r="U779" s="840"/>
      <c r="V779" s="1010"/>
      <c r="W779" s="840"/>
      <c r="X779" s="840"/>
      <c r="Y779" s="840"/>
      <c r="Z779" s="840"/>
      <c r="AA779" s="1010"/>
      <c r="AB779" s="840"/>
      <c r="AC779" s="840"/>
      <c r="AD779" s="840"/>
      <c r="AE779" s="840"/>
      <c r="AF779" s="1010"/>
      <c r="AG779" s="840"/>
      <c r="AH779" s="840"/>
      <c r="AI779" s="840"/>
      <c r="AJ779" s="840"/>
      <c r="AK779" s="1010"/>
      <c r="AL779" s="840"/>
      <c r="AM779" s="840"/>
      <c r="AN779" s="840"/>
      <c r="AO779" s="840"/>
      <c r="AP779" s="1010"/>
      <c r="AQ779" s="840"/>
      <c r="AR779" s="840"/>
      <c r="AS779" s="840"/>
      <c r="AT779" s="840"/>
      <c r="AU779" s="1010"/>
      <c r="AV779" s="840"/>
      <c r="AW779" s="840"/>
      <c r="AX779" s="840"/>
      <c r="AY779" s="840"/>
      <c r="AZ779" s="1010"/>
      <c r="BA779" s="840"/>
      <c r="BB779" s="840"/>
      <c r="BC779" s="840"/>
      <c r="BD779" s="840"/>
      <c r="BE779" s="1010"/>
      <c r="BF779" s="840"/>
      <c r="BG779" s="840"/>
      <c r="BH779" s="841"/>
      <c r="BI779" s="840"/>
      <c r="BJ779" s="1010"/>
      <c r="BK779" s="840"/>
      <c r="BL779" s="840"/>
      <c r="BM779" s="840"/>
      <c r="BN779" s="840"/>
      <c r="BO779" s="1010"/>
      <c r="BP779" s="1010"/>
      <c r="BQ779" s="1010"/>
      <c r="BR779" s="1010"/>
      <c r="BS779" s="822"/>
    </row>
    <row r="780" spans="1:71" s="17" customFormat="1" ht="15">
      <c r="A780" s="818" t="s">
        <v>113</v>
      </c>
      <c r="B780" s="818"/>
      <c r="C780" s="837"/>
      <c r="D780" s="837"/>
      <c r="E780" s="837"/>
      <c r="F780" s="837"/>
      <c r="G780" s="837"/>
      <c r="H780" s="837"/>
      <c r="I780" s="837"/>
      <c r="J780" s="837"/>
      <c r="K780" s="837"/>
      <c r="L780" s="837"/>
      <c r="M780" s="837"/>
      <c r="N780" s="837"/>
      <c r="O780" s="837"/>
      <c r="P780" s="837"/>
      <c r="Q780" s="837"/>
      <c r="R780" s="837"/>
      <c r="S780" s="837"/>
      <c r="T780" s="837"/>
      <c r="U780" s="837"/>
      <c r="V780" s="837"/>
      <c r="W780" s="837"/>
      <c r="X780" s="837"/>
      <c r="Y780" s="837"/>
      <c r="Z780" s="837"/>
      <c r="AA780" s="837"/>
      <c r="AB780" s="837"/>
      <c r="AC780" s="837"/>
      <c r="AD780" s="837"/>
      <c r="AE780" s="837"/>
      <c r="AF780" s="837"/>
      <c r="AG780" s="837"/>
      <c r="AH780" s="837"/>
      <c r="AI780" s="837"/>
      <c r="AJ780" s="837"/>
      <c r="AK780" s="837"/>
      <c r="AL780" s="837"/>
      <c r="AM780" s="837"/>
      <c r="AN780" s="837"/>
      <c r="AO780" s="837"/>
      <c r="AP780" s="837"/>
      <c r="AQ780" s="837"/>
      <c r="AR780" s="837"/>
      <c r="AS780" s="837"/>
      <c r="AT780" s="837"/>
      <c r="AU780" s="837"/>
      <c r="AV780" s="837"/>
      <c r="AW780" s="837"/>
      <c r="AX780" s="837"/>
      <c r="AY780" s="837"/>
      <c r="AZ780" s="837"/>
      <c r="BA780" s="837"/>
      <c r="BB780" s="837"/>
      <c r="BC780" s="837"/>
      <c r="BD780" s="837"/>
      <c r="BE780" s="837"/>
      <c r="BF780" s="837"/>
      <c r="BG780" s="837"/>
      <c r="BH780" s="838"/>
      <c r="BI780" s="837"/>
      <c r="BJ780" s="837"/>
      <c r="BK780" s="837"/>
      <c r="BL780" s="837"/>
      <c r="BM780" s="837"/>
      <c r="BN780" s="837"/>
      <c r="BO780" s="837"/>
      <c r="BP780" s="837"/>
      <c r="BQ780" s="837"/>
      <c r="BR780" s="837"/>
      <c r="BS780" s="457"/>
    </row>
    <row r="781" spans="1:71" s="30" customFormat="1" ht="15">
      <c r="A781" s="628" t="str">
        <f>"Stock Price (Reporting Cur.) - "&amp;MO.ValuationToggle&amp;", "&amp;MO.ReportCurrency</f>
        <v>Stock Price (Reporting Cur.) - EoP, USD</v>
      </c>
      <c r="B781" s="952" t="s">
        <v>920</v>
      </c>
      <c r="C781" s="1078">
        <f t="shared" si="2282" ref="C781:AH781">IF(MO.ValuationToggle="EoP",INDEX(MO_VA_StockPrice_TradingCurrency,1,COLUMN())/INDEX(MO_VA_FX_EoP,1,COLUMN()),INDEX(MO_VA_StockPrice_TradingCurrency,1,COLUMN())/INDEX(MO_VA_FX_Average,1,COLUMN()))</f>
        <v>30.53</v>
      </c>
      <c r="D781" s="1078">
        <f t="shared" si="2282"/>
        <v>31.80</v>
      </c>
      <c r="E781" s="1078">
        <f t="shared" si="2282"/>
        <v>27.41</v>
      </c>
      <c r="F781" s="1078">
        <f t="shared" si="2282"/>
        <v>39.86</v>
      </c>
      <c r="G781" s="1078">
        <f t="shared" si="2282"/>
        <v>54.23</v>
      </c>
      <c r="H781" s="444">
        <f t="shared" si="2282"/>
        <v>55.80</v>
      </c>
      <c r="I781" s="444">
        <f t="shared" si="2282"/>
        <v>58.69</v>
      </c>
      <c r="J781" s="444">
        <f t="shared" si="2282"/>
        <v>61.29</v>
      </c>
      <c r="K781" s="444">
        <f t="shared" si="2282"/>
        <v>70.94</v>
      </c>
      <c r="L781" s="1078">
        <f t="shared" si="2282"/>
        <v>70.94</v>
      </c>
      <c r="M781" s="444">
        <f t="shared" si="2282"/>
        <v>70.95</v>
      </c>
      <c r="N781" s="444">
        <f t="shared" si="2282"/>
        <v>64.680000000000007</v>
      </c>
      <c r="O781" s="444">
        <f t="shared" si="2282"/>
        <v>58.36</v>
      </c>
      <c r="P781" s="444">
        <f t="shared" si="2282"/>
        <v>62.81</v>
      </c>
      <c r="Q781" s="1078">
        <f t="shared" si="2282"/>
        <v>62.81</v>
      </c>
      <c r="R781" s="444">
        <f t="shared" si="2282"/>
        <v>67.72</v>
      </c>
      <c r="S781" s="444">
        <f t="shared" si="2282"/>
        <v>68.47</v>
      </c>
      <c r="T781" s="444">
        <f t="shared" si="2282"/>
        <v>68.64</v>
      </c>
      <c r="U781" s="444">
        <f t="shared" si="2282"/>
        <v>74.120000000000005</v>
      </c>
      <c r="V781" s="1078">
        <f t="shared" si="2282"/>
        <v>74.120000000000005</v>
      </c>
      <c r="W781" s="444">
        <f t="shared" si="2282"/>
        <v>81.64</v>
      </c>
      <c r="X781" s="444">
        <f t="shared" si="2282"/>
        <v>88.13</v>
      </c>
      <c r="Y781" s="444">
        <f t="shared" si="2282"/>
        <v>91.91</v>
      </c>
      <c r="Z781" s="444">
        <f t="shared" si="2282"/>
        <v>104.70999999999999</v>
      </c>
      <c r="AA781" s="1078">
        <f t="shared" si="2282"/>
        <v>104.70999999999999</v>
      </c>
      <c r="AB781" s="444">
        <f t="shared" si="2282"/>
        <v>94.80</v>
      </c>
      <c r="AC781" s="444">
        <f t="shared" si="2282"/>
        <v>91.27</v>
      </c>
      <c r="AD781" s="444">
        <f t="shared" si="2282"/>
        <v>98.70</v>
      </c>
      <c r="AE781" s="444">
        <f t="shared" si="2282"/>
        <v>82.02</v>
      </c>
      <c r="AF781" s="1078">
        <f t="shared" si="2282"/>
        <v>82.02</v>
      </c>
      <c r="AG781" s="444">
        <f t="shared" si="2282"/>
        <v>94.18</v>
      </c>
      <c r="AH781" s="444">
        <f t="shared" si="2282"/>
        <v>101.69</v>
      </c>
      <c r="AI781" s="444">
        <f t="shared" si="2283" ref="AI781:BJ781">IF(MO.ValuationToggle="EoP",INDEX(MO_VA_StockPrice_TradingCurrency,1,COLUMN())/INDEX(MO_VA_FX_EoP,1,COLUMN()),INDEX(MO_VA_StockPrice_TradingCurrency,1,COLUMN())/INDEX(MO_VA_FX_Average,1,COLUMN()))</f>
        <v>107.83</v>
      </c>
      <c r="AJ781" s="444">
        <f t="shared" si="2283"/>
        <v>111.77</v>
      </c>
      <c r="AK781" s="1078">
        <f t="shared" si="2283"/>
        <v>111.77</v>
      </c>
      <c r="AL781" s="444">
        <f t="shared" si="2283"/>
        <v>94.64</v>
      </c>
      <c r="AM781" s="444">
        <f t="shared" si="2283"/>
        <v>95.44</v>
      </c>
      <c r="AN781" s="444">
        <f t="shared" si="2283"/>
        <v>93.44</v>
      </c>
      <c r="AO781" s="444">
        <f t="shared" si="2283"/>
        <v>108.15000000000001</v>
      </c>
      <c r="AP781" s="1049">
        <f t="shared" si="2283"/>
        <v>108.15000000000001</v>
      </c>
      <c r="AQ781" s="444">
        <f t="shared" si="2283"/>
        <v>117.11</v>
      </c>
      <c r="AR781" s="444">
        <f t="shared" si="2283"/>
        <v>129.56999999999999</v>
      </c>
      <c r="AS781" s="444">
        <f t="shared" si="2283"/>
        <v>129.33000000000001</v>
      </c>
      <c r="AT781" s="444">
        <f t="shared" si="2283"/>
        <v>117.68000000000001</v>
      </c>
      <c r="AU781" s="1049">
        <f t="shared" si="2283"/>
        <v>117.68000000000001</v>
      </c>
      <c r="AV781" s="444">
        <f t="shared" si="2283"/>
        <v>140.38999999999999</v>
      </c>
      <c r="AW781" s="444">
        <f t="shared" si="2283"/>
        <v>125.42</v>
      </c>
      <c r="AX781" s="444">
        <f t="shared" si="2283"/>
        <v>126.13</v>
      </c>
      <c r="AY781" s="444">
        <f t="shared" si="2283"/>
        <v>135.59999999999999</v>
      </c>
      <c r="AZ781" s="1049">
        <f t="shared" si="2283"/>
        <v>135.59999999999999</v>
      </c>
      <c r="BA781" s="444">
        <f t="shared" si="2283"/>
        <v>109.09</v>
      </c>
      <c r="BB781" s="444">
        <f t="shared" si="2283"/>
        <v>109.09</v>
      </c>
      <c r="BC781" s="444">
        <f t="shared" si="2283"/>
        <v>111.41</v>
      </c>
      <c r="BD781" s="629">
        <f t="shared" si="2283"/>
        <v>139.97999999999999</v>
      </c>
      <c r="BE781" s="1049">
        <f t="shared" si="2283"/>
        <v>139.97999999999999</v>
      </c>
      <c r="BF781" s="629">
        <f>IF(MO.ValuationToggle="EoP",INDEX(MO_VA_StockPrice_TradingCurrency,1,COLUMN())/INDEX(MO_VA_FX_EoP,1,COLUMN()),INDEX(MO_VA_StockPrice_TradingCurrency,1,COLUMN())/INDEX(MO_VA_FX_Average,1,COLUMN()))</f>
        <v>173.01</v>
      </c>
      <c r="BG781" s="629">
        <f>IF(MO.ValuationToggle="EoP",INDEX(MO_VA_StockPrice_TradingCurrency,1,COLUMN())/INDEX(MO_VA_FX_EoP,1,COLUMN()),INDEX(MO_VA_StockPrice_TradingCurrency,1,COLUMN())/INDEX(MO_VA_FX_Average,1,COLUMN()))</f>
        <v>159.66</v>
      </c>
      <c r="BH781" s="811">
        <f>IF(MO.ValuationToggle="EoP",INDEX(MO_VA_StockPrice_TradingCurrency,1,COLUMN())/INDEX(MO_VA_FX_EoP,1,COLUMN()),INDEX(MO_VA_StockPrice_TradingCurrency,1,COLUMN())/INDEX(MO_VA_FX_Average,1,COLUMN()))</f>
        <v>188.36</v>
      </c>
      <c r="BI781" s="629">
        <f ca="1">IF(MO.ValuationToggle="EoP",INDEX(MO_VA_StockPrice_TradingCurrency,1,COLUMN())/INDEX(MO_VA_FX_EoP,1,COLUMN()),INDEX(MO_VA_StockPrice_TradingCurrency,1,COLUMN())/INDEX(MO_VA_FX_Average,1,COLUMN()))</f>
        <v>186.57</v>
      </c>
      <c r="BJ781" s="1049">
        <f t="shared" ca="1" si="2283"/>
        <v>186.57</v>
      </c>
      <c r="BK781" s="629">
        <f ca="1" t="shared" si="2284" ref="BK781:BR781">IF(MO.ValuationToggle="EoP",INDEX(MO_VA_StockPrice_TradingCurrency,1,COLUMN())/INDEX(MO_VA_FX_EoP,1,COLUMN()),INDEX(MO_VA_StockPrice_TradingCurrency,1,COLUMN())/INDEX(MO_VA_FX_Average,1,COLUMN()))</f>
        <v>186.57</v>
      </c>
      <c r="BL781" s="629">
        <f t="shared" ca="1" si="2284"/>
        <v>186.57</v>
      </c>
      <c r="BM781" s="629">
        <f t="shared" ca="1" si="2284"/>
        <v>186.57</v>
      </c>
      <c r="BN781" s="629">
        <f t="shared" ca="1" si="2284"/>
        <v>186.57</v>
      </c>
      <c r="BO781" s="1049">
        <f t="shared" ca="1" si="2284"/>
        <v>186.57</v>
      </c>
      <c r="BP781" s="1049">
        <f t="shared" ca="1" si="2284"/>
        <v>186.57</v>
      </c>
      <c r="BQ781" s="1049">
        <f t="shared" ca="1" si="2284"/>
        <v>186.57</v>
      </c>
      <c r="BR781" s="1049">
        <f t="shared" ca="1" si="2284"/>
        <v>186.57</v>
      </c>
      <c r="BS781" s="333"/>
    </row>
    <row r="782" spans="1:71" s="22" customFormat="1" ht="15">
      <c r="A782" s="822" t="str">
        <f>"Market Cap - "&amp;MO.ValuationToggle</f>
        <v>Market Cap - EoP</v>
      </c>
      <c r="B782" s="508"/>
      <c r="C782" s="1053">
        <f t="shared" si="2285" ref="C782:AH782">INDEX(MO_VA_StockPrice,0,COLUMN())*INDEX(MO_SCA_ShareCount_EoP_Diluted,0,COLUMN())</f>
        <v>16565.577999999998</v>
      </c>
      <c r="D782" s="1053">
        <f t="shared" si="2285"/>
        <v>17191.080000000002</v>
      </c>
      <c r="E782" s="1053">
        <f t="shared" si="2285"/>
        <v>13929.762000000001</v>
      </c>
      <c r="F782" s="1053">
        <f t="shared" si="2285"/>
        <v>19478.107179999999</v>
      </c>
      <c r="G782" s="1053">
        <f t="shared" si="2285"/>
        <v>25051.928109999997</v>
      </c>
      <c r="H782" s="851">
        <f t="shared" si="2285"/>
        <v>24923.460600000002</v>
      </c>
      <c r="I782" s="851">
        <f t="shared" si="2285"/>
        <v>26173.216329999996</v>
      </c>
      <c r="J782" s="851">
        <f t="shared" si="2285"/>
        <v>26486.902529999999</v>
      </c>
      <c r="K782" s="851">
        <f t="shared" si="2285"/>
        <v>30674.17224</v>
      </c>
      <c r="L782" s="1053">
        <f t="shared" si="2285"/>
        <v>30674.17224</v>
      </c>
      <c r="M782" s="851">
        <f t="shared" si="2285"/>
        <v>29862.571200000002</v>
      </c>
      <c r="N782" s="851">
        <f t="shared" si="2285"/>
        <v>26647.901280000005</v>
      </c>
      <c r="O782" s="851">
        <f t="shared" si="2285"/>
        <v>23250.390560000003</v>
      </c>
      <c r="P782" s="851">
        <f t="shared" si="2285"/>
        <v>24519.1397</v>
      </c>
      <c r="Q782" s="1053">
        <f t="shared" si="2285"/>
        <v>24519.1397</v>
      </c>
      <c r="R782" s="851">
        <f t="shared" si="2285"/>
        <v>26015.992399999996</v>
      </c>
      <c r="S782" s="851">
        <f t="shared" si="2285"/>
        <v>25920.687900000001</v>
      </c>
      <c r="T782" s="851">
        <f t="shared" si="2285"/>
        <v>25820.308799999999</v>
      </c>
      <c r="U782" s="851">
        <f t="shared" si="2285"/>
        <v>27749.119720000002</v>
      </c>
      <c r="V782" s="1053">
        <f t="shared" si="2285"/>
        <v>27749.119720000002</v>
      </c>
      <c r="W782" s="851">
        <f t="shared" si="2285"/>
        <v>30621.612840000002</v>
      </c>
      <c r="X782" s="851">
        <f t="shared" si="2285"/>
        <v>32738.620529999997</v>
      </c>
      <c r="Y782" s="851">
        <f t="shared" si="2285"/>
        <v>34069.290710000001</v>
      </c>
      <c r="Z782" s="851">
        <f t="shared" si="2285"/>
        <v>38377.2621</v>
      </c>
      <c r="AA782" s="1053">
        <f t="shared" si="2285"/>
        <v>38377.2621</v>
      </c>
      <c r="AB782" s="851">
        <f t="shared" si="2285"/>
        <v>34356.467999999993</v>
      </c>
      <c r="AC782" s="851">
        <f t="shared" si="2285"/>
        <v>32511.286700000001</v>
      </c>
      <c r="AD782" s="851">
        <f t="shared" si="2285"/>
        <v>35088.837</v>
      </c>
      <c r="AE782" s="851">
        <f t="shared" si="2285"/>
        <v>27981.287039999999</v>
      </c>
      <c r="AF782" s="1053">
        <f t="shared" si="2285"/>
        <v>27981.287039999999</v>
      </c>
      <c r="AG782" s="851">
        <f t="shared" si="2285"/>
        <v>31705.88536</v>
      </c>
      <c r="AH782" s="851">
        <f t="shared" si="2285"/>
        <v>34447.690880000002</v>
      </c>
      <c r="AI782" s="851">
        <f t="shared" si="2286" ref="AI782:BJ782">INDEX(MO_VA_StockPrice,0,COLUMN())*INDEX(MO_SCA_ShareCount_EoP_Diluted,0,COLUMN())</f>
        <v>36085.525160000005</v>
      </c>
      <c r="AJ782" s="851">
        <f t="shared" si="2286"/>
        <v>36796.807630000003</v>
      </c>
      <c r="AK782" s="1053">
        <f t="shared" si="2286"/>
        <v>36796.807630000003</v>
      </c>
      <c r="AL782" s="851">
        <f t="shared" si="2286"/>
        <v>30523.19816</v>
      </c>
      <c r="AM782" s="851">
        <f t="shared" si="2286"/>
        <v>30342.189360000004</v>
      </c>
      <c r="AN782" s="851">
        <f t="shared" si="2286"/>
        <v>28846.703360000003</v>
      </c>
      <c r="AO782" s="851">
        <f t="shared" si="2286"/>
        <v>33639.949350000003</v>
      </c>
      <c r="AP782" s="1010">
        <f t="shared" si="2286"/>
        <v>33639.949350000003</v>
      </c>
      <c r="AQ782" s="851">
        <f t="shared" si="2286"/>
        <v>35876.531389999996</v>
      </c>
      <c r="AR782" s="851">
        <f t="shared" si="2286"/>
        <v>39538.155930000001</v>
      </c>
      <c r="AS782" s="851">
        <f t="shared" si="2286"/>
        <v>38339.749169999996</v>
      </c>
      <c r="AT782" s="851">
        <f t="shared" si="2286"/>
        <v>33859.595679999999</v>
      </c>
      <c r="AU782" s="1010">
        <f t="shared" si="2286"/>
        <v>33859.595679999999</v>
      </c>
      <c r="AV782" s="851">
        <f t="shared" si="2286"/>
        <v>39649.786139999997</v>
      </c>
      <c r="AW782" s="851">
        <f t="shared" si="2286"/>
        <v>34744.600920000004</v>
      </c>
      <c r="AX782" s="851">
        <f t="shared" si="2286"/>
        <v>34285.413379999998</v>
      </c>
      <c r="AY782" s="851">
        <f t="shared" si="2286"/>
        <v>36598.982400000001</v>
      </c>
      <c r="AZ782" s="1010">
        <f t="shared" si="2286"/>
        <v>36598.982400000001</v>
      </c>
      <c r="BA782" s="851">
        <f t="shared" si="2286"/>
        <v>29192.92036</v>
      </c>
      <c r="BB782" s="851">
        <f t="shared" si="2286"/>
        <v>29062.012360000001</v>
      </c>
      <c r="BC782" s="851">
        <f t="shared" si="2286"/>
        <v>29680.069639999998</v>
      </c>
      <c r="BD782" s="840">
        <f t="shared" si="2286"/>
        <v>37411.894679999998</v>
      </c>
      <c r="BE782" s="1010">
        <f t="shared" si="2286"/>
        <v>37411.894679999998</v>
      </c>
      <c r="BF782" s="840">
        <f>INDEX(MO_VA_StockPrice,0,COLUMN())*INDEX(MO_SCA_ShareCount_EoP_Diluted,0,COLUMN())</f>
        <v>46618.582560000003</v>
      </c>
      <c r="BG782" s="840">
        <f>INDEX(MO_VA_StockPrice,0,COLUMN())*INDEX(MO_SCA_ShareCount_EoP_Diluted,0,COLUMN())</f>
        <v>42991.009559999999</v>
      </c>
      <c r="BH782" s="852">
        <f>INDEX(MO_VA_StockPrice,0,COLUMN())*INDEX(MO_SCA_ShareCount_EoP_Diluted,0,COLUMN())</f>
        <v>51039.155760000009</v>
      </c>
      <c r="BI782" s="840">
        <f ca="1">INDEX(MO_VA_StockPrice,0,COLUMN())*INDEX(MO_SCA_ShareCount_EoP_Diluted,0,COLUMN())</f>
        <v>50618.665660680002</v>
      </c>
      <c r="BJ782" s="1010">
        <f t="shared" ca="1" si="2286"/>
        <v>50618.665660680002</v>
      </c>
      <c r="BK782" s="840">
        <f ca="1" t="shared" si="2287" ref="BK782:BR782">INDEX(MO_VA_StockPrice,0,COLUMN())*INDEX(MO_SCA_ShareCount_EoP_Diluted,0,COLUMN())</f>
        <v>50618.665660680002</v>
      </c>
      <c r="BL782" s="840">
        <f t="shared" ca="1" si="2287"/>
        <v>50618.665660680002</v>
      </c>
      <c r="BM782" s="840">
        <f t="shared" ca="1" si="2287"/>
        <v>50618.665660680002</v>
      </c>
      <c r="BN782" s="840">
        <f t="shared" ca="1" si="2287"/>
        <v>50618.665660680002</v>
      </c>
      <c r="BO782" s="1010">
        <f t="shared" ca="1" si="2287"/>
        <v>50618.665660680002</v>
      </c>
      <c r="BP782" s="1010">
        <f t="shared" ca="1" si="2287"/>
        <v>50618.665660680002</v>
      </c>
      <c r="BQ782" s="1010">
        <f t="shared" ca="1" si="2287"/>
        <v>50618.665660680002</v>
      </c>
      <c r="BR782" s="1010">
        <f t="shared" ca="1" si="2287"/>
        <v>50618.665660680002</v>
      </c>
      <c r="BS782" s="822"/>
    </row>
    <row r="783" spans="1:71" s="28" customFormat="1" ht="15">
      <c r="A783" s="524"/>
      <c r="B783" s="525"/>
      <c r="C783" s="1079"/>
      <c r="D783" s="1079"/>
      <c r="E783" s="1079"/>
      <c r="F783" s="1079"/>
      <c r="G783" s="1079"/>
      <c r="H783" s="470"/>
      <c r="I783" s="470"/>
      <c r="J783" s="470"/>
      <c r="K783" s="470"/>
      <c r="L783" s="1079"/>
      <c r="M783" s="470"/>
      <c r="N783" s="470"/>
      <c r="O783" s="470"/>
      <c r="P783" s="470"/>
      <c r="Q783" s="1079"/>
      <c r="R783" s="470"/>
      <c r="S783" s="526"/>
      <c r="T783" s="470"/>
      <c r="U783" s="470"/>
      <c r="V783" s="1079"/>
      <c r="W783" s="526"/>
      <c r="X783" s="526"/>
      <c r="Y783" s="470"/>
      <c r="Z783" s="470"/>
      <c r="AA783" s="1079"/>
      <c r="AB783" s="526"/>
      <c r="AC783" s="526"/>
      <c r="AD783" s="470"/>
      <c r="AE783" s="470"/>
      <c r="AF783" s="1079"/>
      <c r="AG783" s="526"/>
      <c r="AH783" s="526"/>
      <c r="AI783" s="470"/>
      <c r="AJ783" s="470"/>
      <c r="AK783" s="1079"/>
      <c r="AL783" s="526"/>
      <c r="AM783" s="526"/>
      <c r="AN783" s="470"/>
      <c r="AO783" s="526"/>
      <c r="AP783" s="1079"/>
      <c r="AQ783" s="526"/>
      <c r="AR783" s="526"/>
      <c r="AS783" s="470"/>
      <c r="AT783" s="526"/>
      <c r="AU783" s="1079"/>
      <c r="AV783" s="526"/>
      <c r="AW783" s="526"/>
      <c r="AX783" s="470"/>
      <c r="AY783" s="526"/>
      <c r="AZ783" s="1079"/>
      <c r="BA783" s="526"/>
      <c r="BB783" s="526"/>
      <c r="BC783" s="470"/>
      <c r="BD783" s="526"/>
      <c r="BE783" s="1079"/>
      <c r="BF783" s="526"/>
      <c r="BG783" s="526"/>
      <c r="BH783" s="812"/>
      <c r="BI783" s="526"/>
      <c r="BJ783" s="1079"/>
      <c r="BK783" s="526"/>
      <c r="BL783" s="526"/>
      <c r="BM783" s="526"/>
      <c r="BN783" s="526"/>
      <c r="BO783" s="1079"/>
      <c r="BP783" s="1079"/>
      <c r="BQ783" s="1079"/>
      <c r="BR783" s="1079"/>
      <c r="BS783" s="50"/>
    </row>
    <row r="784" spans="1:71" s="28" customFormat="1" ht="15">
      <c r="A784" s="218" t="str">
        <f>"P/E - "&amp;MO.ValuationToggle</f>
        <v>P/E - EoP</v>
      </c>
      <c r="B784" s="525"/>
      <c r="C784" s="1080">
        <f>C781/C706</f>
        <v>8.7792009569377996</v>
      </c>
      <c r="D784" s="1080">
        <f>D781/D706</f>
        <v>11.209551656920079</v>
      </c>
      <c r="E784" s="1080">
        <f>E781/E706</f>
        <v>21.658868580060425</v>
      </c>
      <c r="F784" s="1080">
        <f>F781/F706</f>
        <v>9.1485009310986971</v>
      </c>
      <c r="G784" s="1080">
        <f>G781/G706</f>
        <v>9.552198127340823</v>
      </c>
      <c r="H784" s="470"/>
      <c r="I784" s="470"/>
      <c r="J784" s="470"/>
      <c r="K784" s="470"/>
      <c r="L784" s="1080">
        <f>L781/L706</f>
        <v>13.13304098014364</v>
      </c>
      <c r="M784" s="470"/>
      <c r="N784" s="470"/>
      <c r="O784" s="470"/>
      <c r="P784" s="470"/>
      <c r="Q784" s="1080">
        <f>Q781/Q706</f>
        <v>12.092336961665879</v>
      </c>
      <c r="R784" s="470"/>
      <c r="S784" s="526"/>
      <c r="T784" s="470"/>
      <c r="U784" s="470"/>
      <c r="V784" s="1080">
        <f>V781/V706</f>
        <v>15.215166485310123</v>
      </c>
      <c r="W784" s="526"/>
      <c r="X784" s="526"/>
      <c r="Y784" s="470"/>
      <c r="Z784" s="470"/>
      <c r="AA784" s="1080">
        <f>AA781/AA706</f>
        <v>15.611000405350628</v>
      </c>
      <c r="AB784" s="526"/>
      <c r="AC784" s="526"/>
      <c r="AD784" s="470"/>
      <c r="AE784" s="470"/>
      <c r="AF784" s="1080">
        <f>AF781/AF706</f>
        <v>10.161158891616974</v>
      </c>
      <c r="AG784" s="526"/>
      <c r="AH784" s="526"/>
      <c r="AI784" s="470"/>
      <c r="AJ784" s="470"/>
      <c r="AK784" s="1080">
        <f>AK781/AK706</f>
        <v>10.720533505895887</v>
      </c>
      <c r="AL784" s="526"/>
      <c r="AM784" s="526"/>
      <c r="AN784" s="470"/>
      <c r="AO784" s="526"/>
      <c r="AP784" s="1079">
        <f>AP781/AP706</f>
        <v>7.5623503989361707</v>
      </c>
      <c r="AQ784" s="526"/>
      <c r="AR784" s="526"/>
      <c r="AS784" s="470"/>
      <c r="AT784" s="526"/>
      <c r="AU784" s="1079">
        <f>AU781/AU706</f>
        <v>8.7275199603273013</v>
      </c>
      <c r="AV784" s="526"/>
      <c r="AW784" s="526"/>
      <c r="AX784" s="470"/>
      <c r="AY784" s="526"/>
      <c r="AZ784" s="1079">
        <f>AZ781/AZ706</f>
        <v>-153.86912133891212</v>
      </c>
      <c r="BA784" s="526"/>
      <c r="BB784" s="526"/>
      <c r="BC784" s="470"/>
      <c r="BD784" s="526"/>
      <c r="BE784" s="1079">
        <f>BE781/BE706</f>
        <v>147.62034262948205</v>
      </c>
      <c r="BF784" s="526"/>
      <c r="BG784" s="526"/>
      <c r="BH784" s="812"/>
      <c r="BI784" s="526"/>
      <c r="BJ784" s="1079">
        <f ca="1">BJ781/BJ706</f>
        <v>12.160256432991533</v>
      </c>
      <c r="BK784" s="526"/>
      <c r="BL784" s="526"/>
      <c r="BM784" s="526"/>
      <c r="BN784" s="526"/>
      <c r="BO784" s="1079">
        <f ca="1">BO781/BO706</f>
        <v>10.044964283346177</v>
      </c>
      <c r="BP784" s="1079">
        <f ca="1">BP781/BP706</f>
        <v>9.3576856498036491</v>
      </c>
      <c r="BQ784" s="1079">
        <f ca="1">BQ781/BQ706</f>
        <v>9.1295087118576106</v>
      </c>
      <c r="BR784" s="1079">
        <f ca="1">BR781/BR706</f>
        <v>8.8799508076254021</v>
      </c>
      <c r="BS784" s="50"/>
    </row>
    <row r="785" spans="1:71" s="28" customFormat="1" ht="15">
      <c r="A785" s="218" t="str">
        <f>"P/B - "&amp;MO.ValuationToggle</f>
        <v>P/B - EoP</v>
      </c>
      <c r="B785" s="525"/>
      <c r="C785" s="1080">
        <f>C781/C751</f>
        <v>0.99004847248784034</v>
      </c>
      <c r="D785" s="1080">
        <f>D781/D751</f>
        <v>0.91964979273175895</v>
      </c>
      <c r="E785" s="1080">
        <f>E781/E751</f>
        <v>0.7576772385630679</v>
      </c>
      <c r="F785" s="1080">
        <f>F781/F751</f>
        <v>0.94033188431162418</v>
      </c>
      <c r="G785" s="1080">
        <f>G781/G751</f>
        <v>1.196989722045434</v>
      </c>
      <c r="H785" s="470"/>
      <c r="I785" s="470"/>
      <c r="J785" s="470"/>
      <c r="K785" s="470"/>
      <c r="L785" s="1080">
        <f>L781/L751</f>
        <v>1.4706989053928459</v>
      </c>
      <c r="M785" s="470"/>
      <c r="N785" s="470"/>
      <c r="O785" s="470"/>
      <c r="P785" s="470"/>
      <c r="Q785" s="1080">
        <f>Q781/Q751</f>
        <v>1.3267104970470922</v>
      </c>
      <c r="R785" s="470"/>
      <c r="S785" s="526"/>
      <c r="T785" s="470"/>
      <c r="U785" s="470"/>
      <c r="V785" s="1080">
        <f>V781/V751</f>
        <v>1.4598022034977665</v>
      </c>
      <c r="W785" s="526"/>
      <c r="X785" s="526"/>
      <c r="Y785" s="470"/>
      <c r="Z785" s="470"/>
      <c r="AA785" s="1080">
        <f>AA781/AA751</f>
        <v>1.8183957359479608</v>
      </c>
      <c r="AB785" s="526"/>
      <c r="AC785" s="526"/>
      <c r="AD785" s="470"/>
      <c r="AE785" s="470"/>
      <c r="AF785" s="1080">
        <f>AF781/AF751</f>
        <v>1.4248340620740547</v>
      </c>
      <c r="AG785" s="526"/>
      <c r="AH785" s="526"/>
      <c r="AI785" s="470"/>
      <c r="AJ785" s="470"/>
      <c r="AK785" s="1080">
        <f>AK781/AK751</f>
        <v>1.5285429932837786</v>
      </c>
      <c r="AL785" s="526"/>
      <c r="AM785" s="526"/>
      <c r="AN785" s="470"/>
      <c r="AO785" s="526"/>
      <c r="AP785" s="1079">
        <f>AP781/AP751</f>
        <v>1.1819274667670465</v>
      </c>
      <c r="AQ785" s="526"/>
      <c r="AR785" s="526"/>
      <c r="AS785" s="470"/>
      <c r="AT785" s="526"/>
      <c r="AU785" s="1079">
        <f>AU781/AU751</f>
        <v>1.4435562100462116</v>
      </c>
      <c r="AV785" s="526"/>
      <c r="AW785" s="526"/>
      <c r="AX785" s="470"/>
      <c r="AY785" s="526"/>
      <c r="AZ785" s="1079">
        <f>AZ781/AZ751</f>
        <v>2.3350661096650023</v>
      </c>
      <c r="BA785" s="526"/>
      <c r="BB785" s="526"/>
      <c r="BC785" s="470"/>
      <c r="BD785" s="526"/>
      <c r="BE785" s="1079">
        <f>BE781/BE751</f>
        <v>2.3568197090336183</v>
      </c>
      <c r="BF785" s="526"/>
      <c r="BG785" s="526"/>
      <c r="BH785" s="812"/>
      <c r="BI785" s="526"/>
      <c r="BJ785" s="1079">
        <f ca="1">BJ781/BJ751</f>
        <v>2.5069426334343294</v>
      </c>
      <c r="BK785" s="526"/>
      <c r="BL785" s="526"/>
      <c r="BM785" s="526"/>
      <c r="BN785" s="526"/>
      <c r="BO785" s="1079">
        <f ca="1">BO781/BO751</f>
        <v>2.0681003714943205</v>
      </c>
      <c r="BP785" s="1079">
        <f ca="1">BP781/BP751</f>
        <v>1.7375379983411388</v>
      </c>
      <c r="BQ785" s="1079">
        <f ca="1">BQ781/BQ751</f>
        <v>1.4920489075989953</v>
      </c>
      <c r="BR785" s="1079">
        <f ca="1">BR781/BR751</f>
        <v>1.3020417601787309</v>
      </c>
      <c r="BS785" s="50"/>
    </row>
    <row r="786" spans="1:71" s="28" customFormat="1" ht="15" hidden="1" outlineLevel="1">
      <c r="A786" s="524"/>
      <c r="B786" s="525"/>
      <c r="C786" s="1079"/>
      <c r="D786" s="1079"/>
      <c r="E786" s="1079"/>
      <c r="F786" s="1079"/>
      <c r="G786" s="1079"/>
      <c r="H786" s="470"/>
      <c r="I786" s="470"/>
      <c r="J786" s="470"/>
      <c r="K786" s="470"/>
      <c r="L786" s="1079"/>
      <c r="M786" s="470"/>
      <c r="N786" s="470"/>
      <c r="O786" s="470"/>
      <c r="P786" s="470"/>
      <c r="Q786" s="1079"/>
      <c r="R786" s="470"/>
      <c r="S786" s="526"/>
      <c r="T786" s="470"/>
      <c r="U786" s="470"/>
      <c r="V786" s="1079"/>
      <c r="W786" s="526"/>
      <c r="X786" s="526"/>
      <c r="Y786" s="470"/>
      <c r="Z786" s="470"/>
      <c r="AA786" s="1079"/>
      <c r="AB786" s="526"/>
      <c r="AC786" s="526"/>
      <c r="AD786" s="470"/>
      <c r="AE786" s="470"/>
      <c r="AF786" s="1079"/>
      <c r="AG786" s="526"/>
      <c r="AH786" s="526"/>
      <c r="AI786" s="470"/>
      <c r="AJ786" s="470"/>
      <c r="AK786" s="1079"/>
      <c r="AL786" s="526"/>
      <c r="AM786" s="526"/>
      <c r="AN786" s="470"/>
      <c r="AO786" s="526"/>
      <c r="AP786" s="1079"/>
      <c r="AQ786" s="526"/>
      <c r="AR786" s="526"/>
      <c r="AS786" s="470"/>
      <c r="AT786" s="526"/>
      <c r="AU786" s="1079"/>
      <c r="AV786" s="526"/>
      <c r="AW786" s="526"/>
      <c r="AX786" s="470"/>
      <c r="AY786" s="526"/>
      <c r="AZ786" s="1079"/>
      <c r="BA786" s="526"/>
      <c r="BB786" s="526"/>
      <c r="BC786" s="470"/>
      <c r="BD786" s="526"/>
      <c r="BE786" s="1079"/>
      <c r="BF786" s="526"/>
      <c r="BG786" s="526"/>
      <c r="BH786" s="812"/>
      <c r="BI786" s="526"/>
      <c r="BJ786" s="1079"/>
      <c r="BK786" s="526"/>
      <c r="BL786" s="526"/>
      <c r="BM786" s="526"/>
      <c r="BN786" s="526"/>
      <c r="BO786" s="1079"/>
      <c r="BP786" s="1079"/>
      <c r="BQ786" s="1079"/>
      <c r="BR786" s="1079"/>
      <c r="BS786" s="50"/>
    </row>
    <row r="787" spans="1:71" s="322" customFormat="1" ht="15" hidden="1" outlineLevel="1">
      <c r="A787" s="328" t="str">
        <f ca="1">"Stock High, "&amp;HP.TradeCurrency</f>
        <v>Stock High, USD</v>
      </c>
      <c r="B787" s="527"/>
      <c r="C787" s="1081">
        <f ca="1" t="shared" si="2288" ref="C787:AZ787">IF(INDEX(MO_SNA_IsHistoricalPeriod,1,COLUMN())=FALSE,0,INDEX(MO_SPT_StockHigh,1,COLUMN()))</f>
        <v>33.50</v>
      </c>
      <c r="D787" s="1081">
        <f t="shared" ca="1" si="2288"/>
        <v>35.51</v>
      </c>
      <c r="E787" s="1081">
        <f t="shared" ca="1" si="2288"/>
        <v>34.40</v>
      </c>
      <c r="F787" s="1081">
        <f t="shared" ca="1" si="2288"/>
        <v>42.81</v>
      </c>
      <c r="G787" s="1081">
        <f t="shared" ca="1" si="2288"/>
        <v>54.84</v>
      </c>
      <c r="H787" s="330">
        <f t="shared" ca="1" si="2288"/>
        <v>56.65</v>
      </c>
      <c r="I787" s="330">
        <f t="shared" ca="1" si="2288"/>
        <v>59.68</v>
      </c>
      <c r="J787" s="330">
        <f t="shared" ca="1" si="2288"/>
        <v>62.59</v>
      </c>
      <c r="K787" s="330">
        <f t="shared" ca="1" si="2288"/>
        <v>71.53</v>
      </c>
      <c r="L787" s="1081">
        <f t="shared" ca="1" si="2288"/>
        <v>71.53</v>
      </c>
      <c r="M787" s="330">
        <f t="shared" ca="1" si="2288"/>
        <v>72.870000000000005</v>
      </c>
      <c r="N787" s="330">
        <f t="shared" ca="1" si="2288"/>
        <v>72.510000000000005</v>
      </c>
      <c r="O787" s="330">
        <f t="shared" ca="1" si="2288"/>
        <v>69.48</v>
      </c>
      <c r="P787" s="330">
        <f t="shared" ca="1" si="2288"/>
        <v>64.69</v>
      </c>
      <c r="Q787" s="1081">
        <f t="shared" ca="1" si="2288"/>
        <v>72.870000000000005</v>
      </c>
      <c r="R787" s="330">
        <f t="shared" ca="1" si="2288"/>
        <v>67.92</v>
      </c>
      <c r="S787" s="330">
        <f t="shared" ca="1" si="2288"/>
        <v>69.95</v>
      </c>
      <c r="T787" s="330">
        <f t="shared" ca="1" si="2288"/>
        <v>70.379999999999995</v>
      </c>
      <c r="U787" s="330">
        <f t="shared" ca="1" si="2288"/>
        <v>74.77</v>
      </c>
      <c r="V787" s="1081">
        <f t="shared" ca="1" si="2288"/>
        <v>74.77</v>
      </c>
      <c r="W787" s="330">
        <f t="shared" ca="1" si="2288"/>
        <v>83.09</v>
      </c>
      <c r="X787" s="330">
        <f t="shared" ca="1" si="2288"/>
        <v>90.74</v>
      </c>
      <c r="Y787" s="330">
        <f t="shared" ca="1" si="2288"/>
        <v>95.25</v>
      </c>
      <c r="Z787" s="330">
        <f t="shared" ca="1" si="2288"/>
        <v>105.36</v>
      </c>
      <c r="AA787" s="1081">
        <f t="shared" ca="1" si="2288"/>
        <v>105.36</v>
      </c>
      <c r="AB787" s="330">
        <f t="shared" ca="1" si="2288"/>
        <v>102.39709999999999</v>
      </c>
      <c r="AC787" s="330">
        <f t="shared" ca="1" si="2288"/>
        <v>97.176000000000002</v>
      </c>
      <c r="AD787" s="330">
        <f t="shared" ca="1" si="2288"/>
        <v>101.50360000000001</v>
      </c>
      <c r="AE787" s="330">
        <f t="shared" ca="1" si="2288"/>
        <v>99.941699999999997</v>
      </c>
      <c r="AF787" s="1081">
        <f t="shared" ca="1" si="2288"/>
        <v>102.39709999999999</v>
      </c>
      <c r="AG787" s="330">
        <f t="shared" ca="1" si="2288"/>
        <v>95.06</v>
      </c>
      <c r="AH787" s="330">
        <f t="shared" ca="1" si="2288"/>
        <v>103.55</v>
      </c>
      <c r="AI787" s="330">
        <f t="shared" ca="1" si="2288"/>
        <v>108.68000000000001</v>
      </c>
      <c r="AJ787" s="330">
        <f t="shared" ca="1" si="2288"/>
        <v>112.62</v>
      </c>
      <c r="AK787" s="1081">
        <f t="shared" ca="1" si="2288"/>
        <v>112.62</v>
      </c>
      <c r="AL787" s="330">
        <f ca="1">IF(INDEX(MO_SNA_IsHistoricalPeriod,1,COLUMN())=FALSE,0,INDEX(MO_SPT_StockHigh,1,COLUMN()))</f>
        <v>125.56999999999999</v>
      </c>
      <c r="AM787" s="330">
        <f ca="1">IF(INDEX(MO_SNA_IsHistoricalPeriod,1,COLUMN())=FALSE,0,INDEX(MO_SPT_StockHigh,1,COLUMN()))</f>
        <v>106.98999999999999</v>
      </c>
      <c r="AN787" s="330">
        <f ca="1">IF(INDEX(MO_SNA_IsHistoricalPeriod,1,COLUMN())=FALSE,0,INDEX(MO_SPT_StockHigh,1,COLUMN()))</f>
        <v>97.25</v>
      </c>
      <c r="AO787" s="330">
        <f t="shared" ca="1" si="2288"/>
        <v>109.93000000000001</v>
      </c>
      <c r="AP787" s="1082">
        <f t="shared" ca="1" si="2288"/>
        <v>125.56999999999999</v>
      </c>
      <c r="AQ787" s="330">
        <f ca="1">IF(INDEX(MO_SNA_IsHistoricalPeriod,1,COLUMN())=FALSE,0,INDEX(MO_SPT_StockHigh,1,COLUMN()))</f>
        <v>117.27</v>
      </c>
      <c r="AR787" s="330">
        <f ca="1">IF(INDEX(MO_SNA_IsHistoricalPeriod,1,COLUMN())=FALSE,0,INDEX(MO_SPT_StockHigh,1,COLUMN()))</f>
        <v>139.25999999999999</v>
      </c>
      <c r="AS787" s="330">
        <f ca="1">IF(INDEX(MO_SNA_IsHistoricalPeriod,1,COLUMN())=FALSE,0,INDEX(MO_SPT_StockHigh,1,COLUMN()))</f>
        <v>137.87</v>
      </c>
      <c r="AT787" s="330">
        <f t="shared" ca="1" si="2288"/>
        <v>129</v>
      </c>
      <c r="AU787" s="1082">
        <f t="shared" ca="1" si="2288"/>
        <v>139.25999999999999</v>
      </c>
      <c r="AV787" s="330">
        <f ca="1">IF(INDEX(MO_SNA_IsHistoricalPeriod,1,COLUMN())=FALSE,0,INDEX(MO_SPT_StockHigh,1,COLUMN()))</f>
        <v>141.80000000000001</v>
      </c>
      <c r="AW787" s="330">
        <f ca="1">IF(INDEX(MO_SNA_IsHistoricalPeriod,1,COLUMN())=FALSE,0,INDEX(MO_SPT_StockHigh,1,COLUMN()))</f>
        <v>143.86000000000001</v>
      </c>
      <c r="AX787" s="330">
        <f ca="1">IF(INDEX(MO_SNA_IsHistoricalPeriod,1,COLUMN())=FALSE,0,INDEX(MO_SPT_StockHigh,1,COLUMN()))</f>
        <v>133.02000000000001</v>
      </c>
      <c r="AY787" s="330">
        <f t="shared" ca="1" si="2288"/>
        <v>137.38</v>
      </c>
      <c r="AZ787" s="1082">
        <f t="shared" ca="1" si="2288"/>
        <v>143.86000000000001</v>
      </c>
      <c r="BA787" s="330">
        <f ca="1">IF(INDEX(MO_SNA_IsHistoricalPeriod,1,COLUMN())=FALSE,0,INDEX(MO_SPT_StockHigh,1,COLUMN()))</f>
        <v>141.37</v>
      </c>
      <c r="BB787" s="330">
        <f ca="1">IF(INDEX(MO_SNA_IsHistoricalPeriod,1,COLUMN())=FALSE,0,INDEX(MO_SPT_StockHigh,1,COLUMN()))</f>
        <v>119</v>
      </c>
      <c r="BC787" s="330">
        <f ca="1">IF(INDEX(MO_SNA_IsHistoricalPeriod,1,COLUMN())=FALSE,0,INDEX(MO_SPT_StockHigh,1,COLUMN()))</f>
        <v>115.23999999999999</v>
      </c>
      <c r="BD787" s="630">
        <f ca="1" t="shared" si="2289" ref="BD787:BJ787">IF(INDEX(MO_SNA_IsHistoricalPeriod,1,COLUMN())=FALSE,0,INDEX(MO_SPT_StockHigh,1,COLUMN()))</f>
        <v>144.36000000000001</v>
      </c>
      <c r="BE787" s="1082">
        <f t="shared" ca="1" si="2289"/>
        <v>144.36000000000001</v>
      </c>
      <c r="BF787" s="630">
        <f ca="1">IF(INDEX(MO_SNA_IsHistoricalPeriod,1,COLUMN())=FALSE,0,INDEX(MO_SPT_StockHigh,1,COLUMN()))</f>
        <v>173.01</v>
      </c>
      <c r="BG787" s="630">
        <f ca="1">IF(INDEX(MO_SNA_IsHistoricalPeriod,1,COLUMN())=FALSE,0,INDEX(MO_SPT_StockHigh,1,COLUMN()))</f>
        <v>175.41</v>
      </c>
      <c r="BH787" s="813">
        <f ca="1">IF(INDEX(MO_SNA_IsHistoricalPeriod,1,COLUMN())=FALSE,0,INDEX(MO_SPT_StockHigh,1,COLUMN()))</f>
        <v>192.89</v>
      </c>
      <c r="BI787" s="630">
        <f>IF(INDEX(MO_SNA_IsHistoricalPeriod,1,COLUMN())=FALSE,0,INDEX(MO_SPT_StockHigh,1,COLUMN()))</f>
        <v>0</v>
      </c>
      <c r="BJ787" s="1082">
        <f t="shared" si="2289"/>
        <v>0</v>
      </c>
      <c r="BK787" s="630">
        <f t="shared" si="2290" ref="BK787:BR787">IF(INDEX(MO_SNA_IsHistoricalPeriod,1,COLUMN())=FALSE,0,INDEX(MO_SPT_StockHigh,1,COLUMN()))</f>
        <v>0</v>
      </c>
      <c r="BL787" s="630">
        <f t="shared" si="2290"/>
        <v>0</v>
      </c>
      <c r="BM787" s="630">
        <f t="shared" si="2290"/>
        <v>0</v>
      </c>
      <c r="BN787" s="630">
        <f t="shared" si="2290"/>
        <v>0</v>
      </c>
      <c r="BO787" s="1082">
        <f t="shared" si="2290"/>
        <v>0</v>
      </c>
      <c r="BP787" s="1082">
        <f t="shared" si="2290"/>
        <v>0</v>
      </c>
      <c r="BQ787" s="1082">
        <f t="shared" si="2290"/>
        <v>0</v>
      </c>
      <c r="BR787" s="1082">
        <f t="shared" si="2290"/>
        <v>0</v>
      </c>
      <c r="BS787" s="301"/>
    </row>
    <row r="788" spans="1:71" s="322" customFormat="1" ht="15" hidden="1" outlineLevel="1">
      <c r="A788" s="328" t="str">
        <f ca="1">"Stock Low, "&amp;HP.TradeCurrency</f>
        <v>Stock Low, USD</v>
      </c>
      <c r="B788" s="527"/>
      <c r="C788" s="1081">
        <f ca="1" t="shared" si="2291" ref="C788:AZ788">IF(INDEX(MO_SNA_IsHistoricalPeriod,1,COLUMN())=FALSE,0,INDEX(MO_SPT_StockLow,1,COLUMN()))</f>
        <v>13.77</v>
      </c>
      <c r="D788" s="1081">
        <f t="shared" ca="1" si="2291"/>
        <v>26.86</v>
      </c>
      <c r="E788" s="1081">
        <f t="shared" ca="1" si="2291"/>
        <v>22.27</v>
      </c>
      <c r="F788" s="1081">
        <f t="shared" ca="1" si="2291"/>
        <v>26.98</v>
      </c>
      <c r="G788" s="1081">
        <f t="shared" ca="1" si="2291"/>
        <v>40.65</v>
      </c>
      <c r="H788" s="330">
        <f t="shared" ca="1" si="2291"/>
        <v>49.18</v>
      </c>
      <c r="I788" s="330">
        <f t="shared" ca="1" si="2291"/>
        <v>54.81</v>
      </c>
      <c r="J788" s="330">
        <f t="shared" ca="1" si="2291"/>
        <v>56.63</v>
      </c>
      <c r="K788" s="330">
        <f t="shared" ca="1" si="2291"/>
        <v>59.28</v>
      </c>
      <c r="L788" s="1081">
        <f t="shared" ca="1" si="2291"/>
        <v>49.18</v>
      </c>
      <c r="M788" s="330">
        <f t="shared" ca="1" si="2291"/>
        <v>68.379999999999995</v>
      </c>
      <c r="N788" s="330">
        <f t="shared" ca="1" si="2291"/>
        <v>64.620000000000005</v>
      </c>
      <c r="O788" s="330">
        <f t="shared" ca="1" si="2291"/>
        <v>54.12</v>
      </c>
      <c r="P788" s="330">
        <f t="shared" ca="1" si="2291"/>
        <v>56.97</v>
      </c>
      <c r="Q788" s="1081">
        <f t="shared" ca="1" si="2291"/>
        <v>54.12</v>
      </c>
      <c r="R788" s="330">
        <f t="shared" ca="1" si="2291"/>
        <v>56.03</v>
      </c>
      <c r="S788" s="330">
        <f t="shared" ca="1" si="2291"/>
        <v>64.36</v>
      </c>
      <c r="T788" s="330">
        <f t="shared" ca="1" si="2291"/>
        <v>67.239999999999995</v>
      </c>
      <c r="U788" s="330">
        <f t="shared" ca="1" si="2291"/>
        <v>66.55</v>
      </c>
      <c r="V788" s="1081">
        <f t="shared" ca="1" si="2291"/>
        <v>56.03</v>
      </c>
      <c r="W788" s="330">
        <f t="shared" ca="1" si="2291"/>
        <v>73.040000000000006</v>
      </c>
      <c r="X788" s="330">
        <f t="shared" ca="1" si="2291"/>
        <v>79.09</v>
      </c>
      <c r="Y788" s="330">
        <f t="shared" ca="1" si="2291"/>
        <v>85.59</v>
      </c>
      <c r="Z788" s="330">
        <f t="shared" ca="1" si="2291"/>
        <v>90.62</v>
      </c>
      <c r="AA788" s="1081">
        <f t="shared" ca="1" si="2291"/>
        <v>73.040000000000006</v>
      </c>
      <c r="AB788" s="330">
        <f t="shared" ca="1" si="2291"/>
        <v>88.306899999999999</v>
      </c>
      <c r="AC788" s="330">
        <f t="shared" ca="1" si="2291"/>
        <v>89.433199999999999</v>
      </c>
      <c r="AD788" s="330">
        <f t="shared" ca="1" si="2291"/>
        <v>90.78</v>
      </c>
      <c r="AE788" s="330">
        <f t="shared" ca="1" si="2291"/>
        <v>77.27</v>
      </c>
      <c r="AF788" s="1081">
        <f t="shared" ca="1" si="2291"/>
        <v>77.27</v>
      </c>
      <c r="AG788" s="330">
        <f t="shared" ca="1" si="2291"/>
        <v>80.30</v>
      </c>
      <c r="AH788" s="330">
        <f t="shared" ca="1" si="2291"/>
        <v>94.08</v>
      </c>
      <c r="AI788" s="330">
        <f t="shared" ca="1" si="2291"/>
        <v>101.20999999999999</v>
      </c>
      <c r="AJ788" s="330">
        <f t="shared" ca="1" si="2291"/>
        <v>104.95</v>
      </c>
      <c r="AK788" s="1081">
        <f t="shared" ca="1" si="2291"/>
        <v>80.30</v>
      </c>
      <c r="AL788" s="330">
        <f ca="1">IF(INDEX(MO_SNA_IsHistoricalPeriod,1,COLUMN())=FALSE,0,INDEX(MO_SPT_StockLow,1,COLUMN()))</f>
        <v>73.23</v>
      </c>
      <c r="AM788" s="330">
        <f ca="1">IF(INDEX(MO_SNA_IsHistoricalPeriod,1,COLUMN())=FALSE,0,INDEX(MO_SPT_StockLow,1,COLUMN()))</f>
        <v>85.79</v>
      </c>
      <c r="AN788" s="330">
        <f ca="1">IF(INDEX(MO_SNA_IsHistoricalPeriod,1,COLUMN())=FALSE,0,INDEX(MO_SPT_StockLow,1,COLUMN()))</f>
        <v>85.82</v>
      </c>
      <c r="AO788" s="330">
        <f t="shared" ca="1" si="2291"/>
        <v>88</v>
      </c>
      <c r="AP788" s="1082">
        <f t="shared" ca="1" si="2291"/>
        <v>73.23</v>
      </c>
      <c r="AQ788" s="330">
        <f ca="1">IF(INDEX(MO_SNA_IsHistoricalPeriod,1,COLUMN())=FALSE,0,INDEX(MO_SPT_StockLow,1,COLUMN()))</f>
        <v>103.20999999999999</v>
      </c>
      <c r="AR788" s="330">
        <f ca="1">IF(INDEX(MO_SNA_IsHistoricalPeriod,1,COLUMN())=FALSE,0,INDEX(MO_SPT_StockLow,1,COLUMN()))</f>
        <v>116.03</v>
      </c>
      <c r="AS788" s="330">
        <f ca="1">IF(INDEX(MO_SNA_IsHistoricalPeriod,1,COLUMN())=FALSE,0,INDEX(MO_SPT_StockLow,1,COLUMN()))</f>
        <v>127.31</v>
      </c>
      <c r="AT788" s="330">
        <f t="shared" ca="1" si="2291"/>
        <v>107.13</v>
      </c>
      <c r="AU788" s="1082">
        <f t="shared" ca="1" si="2291"/>
        <v>103.20999999999999</v>
      </c>
      <c r="AV788" s="330">
        <f ca="1">IF(INDEX(MO_SNA_IsHistoricalPeriod,1,COLUMN())=FALSE,0,INDEX(MO_SPT_StockLow,1,COLUMN()))</f>
        <v>117.69</v>
      </c>
      <c r="AW788" s="330">
        <f ca="1">IF(INDEX(MO_SNA_IsHistoricalPeriod,1,COLUMN())=FALSE,0,INDEX(MO_SPT_StockLow,1,COLUMN()))</f>
        <v>119.53</v>
      </c>
      <c r="AX788" s="330">
        <f ca="1">IF(INDEX(MO_SNA_IsHistoricalPeriod,1,COLUMN())=FALSE,0,INDEX(MO_SPT_StockLow,1,COLUMN()))</f>
        <v>113.92</v>
      </c>
      <c r="AY788" s="330">
        <f t="shared" ca="1" si="2291"/>
        <v>117.70999999999999</v>
      </c>
      <c r="AZ788" s="1082">
        <f t="shared" ca="1" si="2291"/>
        <v>113.92</v>
      </c>
      <c r="BA788" s="330">
        <f ca="1">IF(INDEX(MO_SNA_IsHistoricalPeriod,1,COLUMN())=FALSE,0,INDEX(MO_SPT_StockLow,1,COLUMN()))</f>
        <v>105.11</v>
      </c>
      <c r="BB788" s="330">
        <f ca="1">IF(INDEX(MO_SNA_IsHistoricalPeriod,1,COLUMN())=FALSE,0,INDEX(MO_SPT_StockLow,1,COLUMN()))</f>
        <v>107.53</v>
      </c>
      <c r="BC788" s="330">
        <f ca="1">IF(INDEX(MO_SNA_IsHistoricalPeriod,1,COLUMN())=FALSE,0,INDEX(MO_SPT_StockLow,1,COLUMN()))</f>
        <v>101.18000000000001</v>
      </c>
      <c r="BD788" s="630">
        <f ca="1" t="shared" si="2292" ref="BD788:BJ788">IF(INDEX(MO_SNA_IsHistoricalPeriod,1,COLUMN())=FALSE,0,INDEX(MO_SPT_StockLow,1,COLUMN()))</f>
        <v>109.91</v>
      </c>
      <c r="BE788" s="1082">
        <f t="shared" ca="1" si="2292"/>
        <v>101.18000000000001</v>
      </c>
      <c r="BF788" s="630">
        <f ca="1">IF(INDEX(MO_SNA_IsHistoricalPeriod,1,COLUMN())=FALSE,0,INDEX(MO_SPT_StockLow,1,COLUMN()))</f>
        <v>143.81</v>
      </c>
      <c r="BG788" s="630">
        <f ca="1">IF(INDEX(MO_SNA_IsHistoricalPeriod,1,COLUMN())=FALSE,0,INDEX(MO_SPT_StockLow,1,COLUMN()))</f>
        <v>157.06999999999999</v>
      </c>
      <c r="BH788" s="813">
        <f ca="1">IF(INDEX(MO_SNA_IsHistoricalPeriod,1,COLUMN())=FALSE,0,INDEX(MO_SPT_StockLow,1,COLUMN()))</f>
        <v>158.43000000000001</v>
      </c>
      <c r="BI788" s="630">
        <f>IF(INDEX(MO_SNA_IsHistoricalPeriod,1,COLUMN())=FALSE,0,INDEX(MO_SPT_StockLow,1,COLUMN()))</f>
        <v>0</v>
      </c>
      <c r="BJ788" s="1082">
        <f t="shared" si="2292"/>
        <v>0</v>
      </c>
      <c r="BK788" s="630">
        <f t="shared" si="2293" ref="BK788:BR788">IF(INDEX(MO_SNA_IsHistoricalPeriod,1,COLUMN())=FALSE,0,INDEX(MO_SPT_StockLow,1,COLUMN()))</f>
        <v>0</v>
      </c>
      <c r="BL788" s="630">
        <f t="shared" si="2293"/>
        <v>0</v>
      </c>
      <c r="BM788" s="630">
        <f t="shared" si="2293"/>
        <v>0</v>
      </c>
      <c r="BN788" s="630">
        <f t="shared" si="2293"/>
        <v>0</v>
      </c>
      <c r="BO788" s="1082">
        <f t="shared" si="2293"/>
        <v>0</v>
      </c>
      <c r="BP788" s="1082">
        <f t="shared" si="2293"/>
        <v>0</v>
      </c>
      <c r="BQ788" s="1082">
        <f t="shared" si="2293"/>
        <v>0</v>
      </c>
      <c r="BR788" s="1082">
        <f t="shared" si="2293"/>
        <v>0</v>
      </c>
      <c r="BS788" s="301"/>
    </row>
    <row r="789" spans="1:71" s="322" customFormat="1" ht="15" hidden="1" outlineLevel="1">
      <c r="A789" s="328" t="str">
        <f ca="1">"Stock Average, "&amp;HP.TradeCurrency</f>
        <v>Stock Average, USD</v>
      </c>
      <c r="B789" s="527"/>
      <c r="C789" s="1081">
        <f ca="1" t="shared" si="2294" ref="C789:AZ789">IF(INDEX(MO_SNA_IsHistoricalPeriod,1,COLUMN())=FALSE,0,INDEX(MO_SPT_StockAverage,1,COLUMN()))</f>
        <v>23.635</v>
      </c>
      <c r="D789" s="1081">
        <f t="shared" ca="1" si="2294"/>
        <v>31.185</v>
      </c>
      <c r="E789" s="1081">
        <f t="shared" ca="1" si="2294"/>
        <v>28.335</v>
      </c>
      <c r="F789" s="1081">
        <f t="shared" ca="1" si="2294"/>
        <v>34.895000000000003</v>
      </c>
      <c r="G789" s="1081">
        <f t="shared" ca="1" si="2294"/>
        <v>47.745</v>
      </c>
      <c r="H789" s="330">
        <f t="shared" ca="1" si="2294"/>
        <v>52.915</v>
      </c>
      <c r="I789" s="330">
        <f t="shared" ca="1" si="2294"/>
        <v>57.245</v>
      </c>
      <c r="J789" s="330">
        <f t="shared" ca="1" si="2294"/>
        <v>59.61</v>
      </c>
      <c r="K789" s="330">
        <f t="shared" ca="1" si="2294"/>
        <v>65.405</v>
      </c>
      <c r="L789" s="1081">
        <f t="shared" ca="1" si="2294"/>
        <v>58.79375</v>
      </c>
      <c r="M789" s="330">
        <f t="shared" ca="1" si="2294"/>
        <v>70.625</v>
      </c>
      <c r="N789" s="330">
        <f t="shared" ca="1" si="2294"/>
        <v>68.565</v>
      </c>
      <c r="O789" s="330">
        <f t="shared" ca="1" si="2294"/>
        <v>61.80</v>
      </c>
      <c r="P789" s="330">
        <f t="shared" ca="1" si="2294"/>
        <v>60.83</v>
      </c>
      <c r="Q789" s="1081">
        <f t="shared" ca="1" si="2294"/>
        <v>65.455</v>
      </c>
      <c r="R789" s="330">
        <f t="shared" ca="1" si="2294"/>
        <v>61.975</v>
      </c>
      <c r="S789" s="330">
        <f t="shared" ca="1" si="2294"/>
        <v>67.155</v>
      </c>
      <c r="T789" s="330">
        <f t="shared" ca="1" si="2294"/>
        <v>68.81</v>
      </c>
      <c r="U789" s="330">
        <f t="shared" ca="1" si="2294"/>
        <v>70.66</v>
      </c>
      <c r="V789" s="1081">
        <f t="shared" ca="1" si="2294"/>
        <v>67.150000000000006</v>
      </c>
      <c r="W789" s="330">
        <f t="shared" ca="1" si="2294"/>
        <v>78.065</v>
      </c>
      <c r="X789" s="330">
        <f t="shared" ca="1" si="2294"/>
        <v>84.915</v>
      </c>
      <c r="Y789" s="330">
        <f t="shared" ca="1" si="2294"/>
        <v>90.42</v>
      </c>
      <c r="Z789" s="330">
        <f t="shared" ca="1" si="2294"/>
        <v>97.99</v>
      </c>
      <c r="AA789" s="1081">
        <f t="shared" ca="1" si="2294"/>
        <v>87.8475</v>
      </c>
      <c r="AB789" s="330">
        <f t="shared" ca="1" si="2294"/>
        <v>95.133890163934396</v>
      </c>
      <c r="AC789" s="330">
        <f t="shared" ca="1" si="2294"/>
        <v>93.827601562500007</v>
      </c>
      <c r="AD789" s="330">
        <f t="shared" ca="1" si="2294"/>
        <v>96.726738095238105</v>
      </c>
      <c r="AE789" s="330">
        <f t="shared" ca="1" si="2294"/>
        <v>89.467874603174593</v>
      </c>
      <c r="AF789" s="1081">
        <f t="shared" ca="1" si="2294"/>
        <v>93.778463745019906</v>
      </c>
      <c r="AG789" s="330">
        <f t="shared" ca="1" si="2294"/>
        <v>90.452459016393405</v>
      </c>
      <c r="AH789" s="330">
        <f t="shared" ca="1" si="2294"/>
        <v>97.704285714285703</v>
      </c>
      <c r="AI789" s="330">
        <f t="shared" ca="1" si="2294"/>
        <v>104.358125</v>
      </c>
      <c r="AJ789" s="330">
        <f t="shared" ca="1" si="2294"/>
        <v>109.155</v>
      </c>
      <c r="AK789" s="1081">
        <f t="shared" ca="1" si="2294"/>
        <v>100.54686507936501</v>
      </c>
      <c r="AL789" s="330">
        <f ca="1">IF(INDEX(MO_SNA_IsHistoricalPeriod,1,COLUMN())=FALSE,0,INDEX(MO_SPT_StockAverage,1,COLUMN()))</f>
        <v>108.727741935484</v>
      </c>
      <c r="AM789" s="330">
        <f ca="1">IF(INDEX(MO_SNA_IsHistoricalPeriod,1,COLUMN())=FALSE,0,INDEX(MO_SPT_StockAverage,1,COLUMN()))</f>
        <v>98.251904761904797</v>
      </c>
      <c r="AN789" s="330">
        <f ca="1">IF(INDEX(MO_SNA_IsHistoricalPeriod,1,COLUMN())=FALSE,0,INDEX(MO_SPT_StockAverage,1,COLUMN()))</f>
        <v>93.2909375</v>
      </c>
      <c r="AO789" s="330">
        <f t="shared" ca="1" si="2294"/>
        <v>98.289375</v>
      </c>
      <c r="AP789" s="1082">
        <f t="shared" ca="1" si="2294"/>
        <v>99.573636363636297</v>
      </c>
      <c r="AQ789" s="330">
        <f ca="1">IF(INDEX(MO_SNA_IsHistoricalPeriod,1,COLUMN())=FALSE,0,INDEX(MO_SPT_StockAverage,1,COLUMN()))</f>
        <v>110.19262295082</v>
      </c>
      <c r="AR789" s="330">
        <f ca="1">IF(INDEX(MO_SNA_IsHistoricalPeriod,1,COLUMN())=FALSE,0,INDEX(MO_SPT_StockAverage,1,COLUMN()))</f>
        <v>129.18666666666701</v>
      </c>
      <c r="AS789" s="330">
        <f ca="1">IF(INDEX(MO_SNA_IsHistoricalPeriod,1,COLUMN())=FALSE,0,INDEX(MO_SPT_StockAverage,1,COLUMN()))</f>
        <v>132.15234375</v>
      </c>
      <c r="AT789" s="330">
        <f t="shared" ca="1" si="2294"/>
        <v>118.29953125</v>
      </c>
      <c r="AU789" s="1082">
        <f t="shared" ca="1" si="2294"/>
        <v>122.577103174603</v>
      </c>
      <c r="AV789" s="330">
        <f ca="1">IF(INDEX(MO_SNA_IsHistoricalPeriod,1,COLUMN())=FALSE,0,INDEX(MO_SPT_StockAverage,1,COLUMN()))</f>
        <v>125.522903225806</v>
      </c>
      <c r="AW789" s="330">
        <f ca="1">IF(INDEX(MO_SNA_IsHistoricalPeriod,1,COLUMN())=FALSE,0,INDEX(MO_SPT_StockAverage,1,COLUMN()))</f>
        <v>131.01596774193499</v>
      </c>
      <c r="AX789" s="330">
        <f ca="1">IF(INDEX(MO_SNA_IsHistoricalPeriod,1,COLUMN())=FALSE,0,INDEX(MO_SPT_StockAverage,1,COLUMN()))</f>
        <v>124.24765625000001</v>
      </c>
      <c r="AY789" s="330">
        <f t="shared" ca="1" si="2294"/>
        <v>130.769682539683</v>
      </c>
      <c r="AZ789" s="1082">
        <f t="shared" ca="1" si="2294"/>
        <v>127.871513944223</v>
      </c>
      <c r="BA789" s="330">
        <f ca="1">IF(INDEX(MO_SNA_IsHistoricalPeriod,1,COLUMN())=FALSE,0,INDEX(MO_SPT_StockAverage,1,COLUMN()))</f>
        <v>126.41370967741901</v>
      </c>
      <c r="BB789" s="330">
        <f ca="1">IF(INDEX(MO_SNA_IsHistoricalPeriod,1,COLUMN())=FALSE,0,INDEX(MO_SPT_StockAverage,1,COLUMN()))</f>
        <v>113.43516129032299</v>
      </c>
      <c r="BC789" s="330">
        <f ca="1">IF(INDEX(MO_SNA_IsHistoricalPeriod,1,COLUMN())=FALSE,0,INDEX(MO_SPT_StockAverage,1,COLUMN()))</f>
        <v>109.12095238095201</v>
      </c>
      <c r="BD789" s="630">
        <f ca="1" t="shared" si="2295" ref="BD789:BJ789">IF(INDEX(MO_SNA_IsHistoricalPeriod,1,COLUMN())=FALSE,0,INDEX(MO_SPT_StockAverage,1,COLUMN()))</f>
        <v>130.38952380952401</v>
      </c>
      <c r="BE789" s="1082">
        <f t="shared" ca="1" si="2295"/>
        <v>119.83916000000001</v>
      </c>
      <c r="BF789" s="630">
        <f ca="1">IF(INDEX(MO_SNA_IsHistoricalPeriod,1,COLUMN())=FALSE,0,INDEX(MO_SPT_StockAverage,1,COLUMN()))</f>
        <v>157.84901639344301</v>
      </c>
      <c r="BG789" s="630">
        <f ca="1">IF(INDEX(MO_SNA_IsHistoricalPeriod,1,COLUMN())=FALSE,0,INDEX(MO_SPT_StockAverage,1,COLUMN()))</f>
        <v>166.81333333333299</v>
      </c>
      <c r="BH789" s="813">
        <f ca="1">IF(INDEX(MO_SNA_IsHistoricalPeriod,1,COLUMN())=FALSE,0,INDEX(MO_SPT_StockAverage,1,COLUMN()))</f>
        <v>177.58953124999999</v>
      </c>
      <c r="BI789" s="630">
        <f>IF(INDEX(MO_SNA_IsHistoricalPeriod,1,COLUMN())=FALSE,0,INDEX(MO_SPT_StockAverage,1,COLUMN()))</f>
        <v>0</v>
      </c>
      <c r="BJ789" s="1082">
        <f t="shared" si="2295"/>
        <v>0</v>
      </c>
      <c r="BK789" s="630">
        <f t="shared" si="2296" ref="BK789:BR789">IF(INDEX(MO_SNA_IsHistoricalPeriod,1,COLUMN())=FALSE,0,INDEX(MO_SPT_StockAverage,1,COLUMN()))</f>
        <v>0</v>
      </c>
      <c r="BL789" s="630">
        <f t="shared" si="2296"/>
        <v>0</v>
      </c>
      <c r="BM789" s="630">
        <f t="shared" si="2296"/>
        <v>0</v>
      </c>
      <c r="BN789" s="630">
        <f t="shared" si="2296"/>
        <v>0</v>
      </c>
      <c r="BO789" s="1082">
        <f t="shared" si="2296"/>
        <v>0</v>
      </c>
      <c r="BP789" s="1082">
        <f t="shared" si="2296"/>
        <v>0</v>
      </c>
      <c r="BQ789" s="1082">
        <f t="shared" si="2296"/>
        <v>0</v>
      </c>
      <c r="BR789" s="1082">
        <f t="shared" si="2296"/>
        <v>0</v>
      </c>
      <c r="BS789" s="301"/>
    </row>
    <row r="790" spans="1:71" s="322" customFormat="1" ht="15" hidden="1" outlineLevel="1">
      <c r="A790" s="328" t="str">
        <f ca="1">"Stock EoP, "&amp;HP.TradeCurrency</f>
        <v>Stock EoP, USD</v>
      </c>
      <c r="B790" s="527"/>
      <c r="C790" s="1083">
        <f t="shared" si="2297" ref="C790:AH790">IF(INDEX(MO_SNA_IsHistoricalPeriod,1,COLUMN())=FALSE,MO.LastPrice,INDEX(MO_SPT_StockEoP,1,COLUMN()))</f>
        <v>30.53</v>
      </c>
      <c r="D790" s="1083">
        <f t="shared" si="2297"/>
        <v>31.80</v>
      </c>
      <c r="E790" s="1083">
        <f t="shared" si="2297"/>
        <v>27.41</v>
      </c>
      <c r="F790" s="1083">
        <f t="shared" si="2297"/>
        <v>39.86</v>
      </c>
      <c r="G790" s="1083">
        <f t="shared" si="2297"/>
        <v>54.23</v>
      </c>
      <c r="H790" s="611">
        <f t="shared" si="2297"/>
        <v>55.80</v>
      </c>
      <c r="I790" s="611">
        <f t="shared" si="2297"/>
        <v>58.69</v>
      </c>
      <c r="J790" s="611">
        <f t="shared" si="2297"/>
        <v>61.29</v>
      </c>
      <c r="K790" s="611">
        <f t="shared" si="2297"/>
        <v>70.94</v>
      </c>
      <c r="L790" s="1083">
        <f t="shared" si="2297"/>
        <v>70.94</v>
      </c>
      <c r="M790" s="611">
        <f t="shared" si="2297"/>
        <v>70.95</v>
      </c>
      <c r="N790" s="611">
        <f t="shared" si="2297"/>
        <v>64.680000000000007</v>
      </c>
      <c r="O790" s="611">
        <f t="shared" si="2297"/>
        <v>58.36</v>
      </c>
      <c r="P790" s="611">
        <f t="shared" si="2297"/>
        <v>62.81</v>
      </c>
      <c r="Q790" s="1083">
        <f t="shared" si="2297"/>
        <v>62.81</v>
      </c>
      <c r="R790" s="611">
        <f t="shared" si="2297"/>
        <v>67.72</v>
      </c>
      <c r="S790" s="611">
        <f t="shared" si="2297"/>
        <v>68.47</v>
      </c>
      <c r="T790" s="611">
        <f t="shared" si="2297"/>
        <v>68.64</v>
      </c>
      <c r="U790" s="611">
        <f t="shared" si="2297"/>
        <v>74.120000000000005</v>
      </c>
      <c r="V790" s="1083">
        <f t="shared" si="2297"/>
        <v>74.120000000000005</v>
      </c>
      <c r="W790" s="611">
        <f t="shared" si="2297"/>
        <v>81.64</v>
      </c>
      <c r="X790" s="611">
        <f t="shared" si="2297"/>
        <v>88.13</v>
      </c>
      <c r="Y790" s="611">
        <f t="shared" si="2297"/>
        <v>91.91</v>
      </c>
      <c r="Z790" s="611">
        <f t="shared" si="2297"/>
        <v>104.70999999999999</v>
      </c>
      <c r="AA790" s="1083">
        <f t="shared" si="2297"/>
        <v>104.70999999999999</v>
      </c>
      <c r="AB790" s="611">
        <f t="shared" si="2297"/>
        <v>94.80</v>
      </c>
      <c r="AC790" s="611">
        <f t="shared" si="2297"/>
        <v>91.27</v>
      </c>
      <c r="AD790" s="611">
        <f t="shared" si="2297"/>
        <v>98.70</v>
      </c>
      <c r="AE790" s="611">
        <f t="shared" si="2297"/>
        <v>82.02</v>
      </c>
      <c r="AF790" s="1083">
        <f t="shared" si="2297"/>
        <v>82.02</v>
      </c>
      <c r="AG790" s="611">
        <f t="shared" si="2297"/>
        <v>94.18</v>
      </c>
      <c r="AH790" s="611">
        <f t="shared" si="2297"/>
        <v>101.69</v>
      </c>
      <c r="AI790" s="611">
        <f t="shared" si="2298" ref="AI790:BE790">IF(INDEX(MO_SNA_IsHistoricalPeriod,1,COLUMN())=FALSE,MO.LastPrice,INDEX(MO_SPT_StockEoP,1,COLUMN()))</f>
        <v>107.83</v>
      </c>
      <c r="AJ790" s="611">
        <f t="shared" si="2298"/>
        <v>111.77</v>
      </c>
      <c r="AK790" s="1083">
        <f t="shared" si="2298"/>
        <v>111.77</v>
      </c>
      <c r="AL790" s="611">
        <f t="shared" si="2298"/>
        <v>94.64</v>
      </c>
      <c r="AM790" s="611">
        <f t="shared" si="2298"/>
        <v>95.44</v>
      </c>
      <c r="AN790" s="611">
        <f t="shared" si="2298"/>
        <v>93.44</v>
      </c>
      <c r="AO790" s="611">
        <f t="shared" si="2298"/>
        <v>108.15000000000001</v>
      </c>
      <c r="AP790" s="1084">
        <f t="shared" si="2298"/>
        <v>108.15000000000001</v>
      </c>
      <c r="AQ790" s="611">
        <f t="shared" si="2298"/>
        <v>117.11</v>
      </c>
      <c r="AR790" s="611">
        <f t="shared" si="2298"/>
        <v>129.56999999999999</v>
      </c>
      <c r="AS790" s="611">
        <f t="shared" si="2298"/>
        <v>129.33000000000001</v>
      </c>
      <c r="AT790" s="611">
        <f t="shared" si="2298"/>
        <v>117.68000000000001</v>
      </c>
      <c r="AU790" s="1084">
        <f t="shared" si="2298"/>
        <v>117.68000000000001</v>
      </c>
      <c r="AV790" s="611">
        <f t="shared" si="2298"/>
        <v>140.38999999999999</v>
      </c>
      <c r="AW790" s="611">
        <f>IF(INDEX(MO_SNA_IsHistoricalPeriod,1,COLUMN())=FALSE,MO.LastPrice,INDEX(MO_SPT_StockEoP,1,COLUMN()))</f>
        <v>125.42</v>
      </c>
      <c r="AX790" s="611">
        <f>IF(INDEX(MO_SNA_IsHistoricalPeriod,1,COLUMN())=FALSE,MO.LastPrice,INDEX(MO_SPT_StockEoP,1,COLUMN()))</f>
        <v>126.13</v>
      </c>
      <c r="AY790" s="611">
        <f t="shared" si="2298"/>
        <v>135.59999999999999</v>
      </c>
      <c r="AZ790" s="1084">
        <f t="shared" si="2298"/>
        <v>135.59999999999999</v>
      </c>
      <c r="BA790" s="611">
        <f>IF(INDEX(MO_SNA_IsHistoricalPeriod,1,COLUMN())=FALSE,MO.LastPrice,INDEX(MO_SPT_StockEoP,1,COLUMN()))</f>
        <v>109.09</v>
      </c>
      <c r="BB790" s="611">
        <f>IF(INDEX(MO_SNA_IsHistoricalPeriod,1,COLUMN())=FALSE,MO.LastPrice,INDEX(MO_SPT_StockEoP,1,COLUMN()))</f>
        <v>109.09</v>
      </c>
      <c r="BC790" s="611">
        <f>IF(INDEX(MO_SNA_IsHistoricalPeriod,1,COLUMN())=FALSE,MO.LastPrice,INDEX(MO_SPT_StockEoP,1,COLUMN()))</f>
        <v>111.41</v>
      </c>
      <c r="BD790" s="631">
        <f>IF(INDEX(MO_SNA_IsHistoricalPeriod,1,COLUMN())=FALSE,MO.LastPrice,INDEX(MO_SPT_StockEoP,1,COLUMN()))</f>
        <v>139.97999999999999</v>
      </c>
      <c r="BE790" s="1084">
        <f t="shared" si="2298"/>
        <v>139.97999999999999</v>
      </c>
      <c r="BF790" s="631">
        <f t="shared" si="2299" ref="BF790:BR790">IF(INDEX(MO_SNA_IsHistoricalPeriod,1,COLUMN())=FALSE,MO.LastPrice,INDEX(MO_SPT_StockEoP,1,COLUMN()))</f>
        <v>173.01</v>
      </c>
      <c r="BG790" s="631">
        <f t="shared" si="2299"/>
        <v>159.66</v>
      </c>
      <c r="BH790" s="814">
        <f>IF(INDEX(MO_SNA_IsHistoricalPeriod,1,COLUMN())=FALSE,MO.LastPrice,INDEX(MO_SPT_StockEoP,1,COLUMN()))</f>
        <v>188.36</v>
      </c>
      <c r="BI790" s="631">
        <f t="shared" ca="1" si="2299"/>
        <v>186.57</v>
      </c>
      <c r="BJ790" s="1084">
        <f t="shared" ca="1" si="2299"/>
        <v>186.57</v>
      </c>
      <c r="BK790" s="631">
        <f t="shared" ca="1" si="2299"/>
        <v>186.57</v>
      </c>
      <c r="BL790" s="631">
        <f t="shared" ca="1" si="2299"/>
        <v>186.57</v>
      </c>
      <c r="BM790" s="631">
        <f t="shared" ca="1" si="2299"/>
        <v>186.57</v>
      </c>
      <c r="BN790" s="631">
        <f t="shared" ca="1" si="2299"/>
        <v>186.57</v>
      </c>
      <c r="BO790" s="1084">
        <f t="shared" ca="1" si="2299"/>
        <v>186.57</v>
      </c>
      <c r="BP790" s="1084">
        <f t="shared" ca="1" si="2299"/>
        <v>186.57</v>
      </c>
      <c r="BQ790" s="1084">
        <f t="shared" ca="1" si="2299"/>
        <v>186.57</v>
      </c>
      <c r="BR790" s="1084">
        <f t="shared" ca="1" si="2299"/>
        <v>186.57</v>
      </c>
      <c r="BS790" s="301"/>
    </row>
    <row r="791" spans="1:71" s="326" customFormat="1" ht="15" hidden="1" outlineLevel="1">
      <c r="A791" s="332" t="str">
        <f ca="1">"Average FX Rate, "&amp;HP.TradeCurrency&amp;"/"&amp;MO.ReportCurrency</f>
        <v>Average FX Rate, USD/USD</v>
      </c>
      <c r="B791" s="528"/>
      <c r="C791" s="1085">
        <f ca="1" t="shared" si="2300" ref="C791:AZ791">IF(INDEX(MO_SPT_FXAverage,1,COLUMN())=0,1,INDEX(MO_SPT_FXAverage,1,COLUMN()))</f>
        <v>1</v>
      </c>
      <c r="D791" s="1085">
        <f t="shared" ca="1" si="2300"/>
        <v>1</v>
      </c>
      <c r="E791" s="1085">
        <f t="shared" ca="1" si="2300"/>
        <v>1</v>
      </c>
      <c r="F791" s="1085">
        <f t="shared" ca="1" si="2300"/>
        <v>1</v>
      </c>
      <c r="G791" s="1085">
        <f t="shared" ca="1" si="2300"/>
        <v>1</v>
      </c>
      <c r="H791" s="614">
        <f t="shared" ca="1" si="2300"/>
        <v>1</v>
      </c>
      <c r="I791" s="614">
        <f t="shared" ca="1" si="2300"/>
        <v>1</v>
      </c>
      <c r="J791" s="614">
        <f t="shared" ca="1" si="2300"/>
        <v>1</v>
      </c>
      <c r="K791" s="614">
        <f t="shared" ca="1" si="2300"/>
        <v>1</v>
      </c>
      <c r="L791" s="1085">
        <f t="shared" ca="1" si="2300"/>
        <v>1</v>
      </c>
      <c r="M791" s="614">
        <f t="shared" ca="1" si="2300"/>
        <v>1</v>
      </c>
      <c r="N791" s="614">
        <f t="shared" ca="1" si="2300"/>
        <v>1</v>
      </c>
      <c r="O791" s="614">
        <f t="shared" ca="1" si="2300"/>
        <v>1</v>
      </c>
      <c r="P791" s="614">
        <f t="shared" ca="1" si="2300"/>
        <v>1</v>
      </c>
      <c r="Q791" s="1085">
        <f t="shared" ca="1" si="2300"/>
        <v>1</v>
      </c>
      <c r="R791" s="614">
        <f t="shared" ca="1" si="2300"/>
        <v>1</v>
      </c>
      <c r="S791" s="614">
        <f t="shared" ca="1" si="2300"/>
        <v>1</v>
      </c>
      <c r="T791" s="614">
        <f t="shared" ca="1" si="2300"/>
        <v>1</v>
      </c>
      <c r="U791" s="614">
        <f t="shared" ca="1" si="2300"/>
        <v>1</v>
      </c>
      <c r="V791" s="1085">
        <f t="shared" ca="1" si="2300"/>
        <v>1</v>
      </c>
      <c r="W791" s="614">
        <f t="shared" ca="1" si="2300"/>
        <v>1</v>
      </c>
      <c r="X791" s="614">
        <f t="shared" ca="1" si="2300"/>
        <v>1</v>
      </c>
      <c r="Y791" s="614">
        <f t="shared" ca="1" si="2300"/>
        <v>1</v>
      </c>
      <c r="Z791" s="614">
        <f t="shared" ca="1" si="2300"/>
        <v>1</v>
      </c>
      <c r="AA791" s="1085">
        <f t="shared" ca="1" si="2300"/>
        <v>1</v>
      </c>
      <c r="AB791" s="614">
        <f t="shared" ca="1" si="2300"/>
        <v>1</v>
      </c>
      <c r="AC791" s="614">
        <f t="shared" ca="1" si="2300"/>
        <v>1</v>
      </c>
      <c r="AD791" s="614">
        <f t="shared" ca="1" si="2300"/>
        <v>1</v>
      </c>
      <c r="AE791" s="614">
        <f t="shared" ca="1" si="2300"/>
        <v>1</v>
      </c>
      <c r="AF791" s="1085">
        <f t="shared" ca="1" si="2300"/>
        <v>1</v>
      </c>
      <c r="AG791" s="614">
        <f t="shared" ca="1" si="2300"/>
        <v>1</v>
      </c>
      <c r="AH791" s="614">
        <f t="shared" ca="1" si="2300"/>
        <v>1</v>
      </c>
      <c r="AI791" s="614">
        <f t="shared" ca="1" si="2300"/>
        <v>1</v>
      </c>
      <c r="AJ791" s="614">
        <f t="shared" ca="1" si="2300"/>
        <v>1</v>
      </c>
      <c r="AK791" s="1085">
        <f t="shared" ca="1" si="2300"/>
        <v>1</v>
      </c>
      <c r="AL791" s="614">
        <f ca="1">IF(INDEX(MO_SPT_FXAverage,1,COLUMN())=0,1,INDEX(MO_SPT_FXAverage,1,COLUMN()))</f>
        <v>1</v>
      </c>
      <c r="AM791" s="614">
        <f ca="1">IF(INDEX(MO_SPT_FXAverage,1,COLUMN())=0,1,INDEX(MO_SPT_FXAverage,1,COLUMN()))</f>
        <v>1</v>
      </c>
      <c r="AN791" s="614">
        <f ca="1">IF(INDEX(MO_SPT_FXAverage,1,COLUMN())=0,1,INDEX(MO_SPT_FXAverage,1,COLUMN()))</f>
        <v>1</v>
      </c>
      <c r="AO791" s="614">
        <f t="shared" ca="1" si="2300"/>
        <v>1</v>
      </c>
      <c r="AP791" s="1086">
        <f t="shared" ca="1" si="2300"/>
        <v>1</v>
      </c>
      <c r="AQ791" s="614">
        <f ca="1">IF(INDEX(MO_SPT_FXAverage,1,COLUMN())=0,1,INDEX(MO_SPT_FXAverage,1,COLUMN()))</f>
        <v>1</v>
      </c>
      <c r="AR791" s="614">
        <f ca="1">IF(INDEX(MO_SPT_FXAverage,1,COLUMN())=0,1,INDEX(MO_SPT_FXAverage,1,COLUMN()))</f>
        <v>1</v>
      </c>
      <c r="AS791" s="614">
        <f ca="1">IF(INDEX(MO_SPT_FXAverage,1,COLUMN())=0,1,INDEX(MO_SPT_FXAverage,1,COLUMN()))</f>
        <v>1</v>
      </c>
      <c r="AT791" s="614">
        <f t="shared" ca="1" si="2300"/>
        <v>1</v>
      </c>
      <c r="AU791" s="1086">
        <f t="shared" ca="1" si="2300"/>
        <v>1</v>
      </c>
      <c r="AV791" s="614">
        <f ca="1">IF(INDEX(MO_SPT_FXAverage,1,COLUMN())=0,1,INDEX(MO_SPT_FXAverage,1,COLUMN()))</f>
        <v>1</v>
      </c>
      <c r="AW791" s="614">
        <f ca="1">IF(INDEX(MO_SPT_FXAverage,1,COLUMN())=0,1,INDEX(MO_SPT_FXAverage,1,COLUMN()))</f>
        <v>1</v>
      </c>
      <c r="AX791" s="614">
        <f ca="1">IF(INDEX(MO_SPT_FXAverage,1,COLUMN())=0,1,INDEX(MO_SPT_FXAverage,1,COLUMN()))</f>
        <v>1</v>
      </c>
      <c r="AY791" s="614">
        <f t="shared" ca="1" si="2300"/>
        <v>1</v>
      </c>
      <c r="AZ791" s="1086">
        <f t="shared" ca="1" si="2300"/>
        <v>1</v>
      </c>
      <c r="BA791" s="614">
        <f ca="1">IF(INDEX(MO_SPT_FXAverage,1,COLUMN())=0,1,INDEX(MO_SPT_FXAverage,1,COLUMN()))</f>
        <v>1</v>
      </c>
      <c r="BB791" s="614">
        <f ca="1">IF(INDEX(MO_SPT_FXAverage,1,COLUMN())=0,1,INDEX(MO_SPT_FXAverage,1,COLUMN()))</f>
        <v>1</v>
      </c>
      <c r="BC791" s="614">
        <f ca="1">IF(INDEX(MO_SPT_FXAverage,1,COLUMN())=0,1,INDEX(MO_SPT_FXAverage,1,COLUMN()))</f>
        <v>1</v>
      </c>
      <c r="BD791" s="632">
        <f ca="1" t="shared" si="2301" ref="BD791:BJ791">IF(INDEX(MO_SPT_FXAverage,1,COLUMN())=0,1,INDEX(MO_SPT_FXAverage,1,COLUMN()))</f>
        <v>1</v>
      </c>
      <c r="BE791" s="1086">
        <f t="shared" ca="1" si="2301"/>
        <v>1</v>
      </c>
      <c r="BF791" s="632">
        <f ca="1">IF(INDEX(MO_SPT_FXAverage,1,COLUMN())=0,1,INDEX(MO_SPT_FXAverage,1,COLUMN()))</f>
        <v>1</v>
      </c>
      <c r="BG791" s="632">
        <f ca="1">IF(INDEX(MO_SPT_FXAverage,1,COLUMN())=0,1,INDEX(MO_SPT_FXAverage,1,COLUMN()))</f>
        <v>1</v>
      </c>
      <c r="BH791" s="815">
        <f ca="1">IF(INDEX(MO_SPT_FXAverage,1,COLUMN())=0,1,INDEX(MO_SPT_FXAverage,1,COLUMN()))</f>
        <v>1</v>
      </c>
      <c r="BI791" s="632">
        <f ca="1">IF(INDEX(MO_SPT_FXAverage,1,COLUMN())=0,1,INDEX(MO_SPT_FXAverage,1,COLUMN()))</f>
        <v>1</v>
      </c>
      <c r="BJ791" s="1086">
        <f t="shared" ca="1" si="2301"/>
        <v>1</v>
      </c>
      <c r="BK791" s="632">
        <f ca="1" t="shared" si="2302" ref="BK791:BR791">IF(INDEX(MO_SPT_FXAverage,1,COLUMN())=0,1,INDEX(MO_SPT_FXAverage,1,COLUMN()))</f>
        <v>1</v>
      </c>
      <c r="BL791" s="632">
        <f t="shared" ca="1" si="2302"/>
        <v>1</v>
      </c>
      <c r="BM791" s="632">
        <f t="shared" ca="1" si="2302"/>
        <v>1</v>
      </c>
      <c r="BN791" s="632">
        <f t="shared" ca="1" si="2302"/>
        <v>1</v>
      </c>
      <c r="BO791" s="1086">
        <f t="shared" ca="1" si="2302"/>
        <v>1</v>
      </c>
      <c r="BP791" s="1086">
        <f t="shared" ca="1" si="2302"/>
        <v>1</v>
      </c>
      <c r="BQ791" s="1086">
        <f t="shared" ca="1" si="2302"/>
        <v>1</v>
      </c>
      <c r="BR791" s="1086">
        <f t="shared" ca="1" si="2302"/>
        <v>1</v>
      </c>
      <c r="BS791" s="325"/>
    </row>
    <row r="792" spans="1:71" s="326" customFormat="1" ht="15" hidden="1" outlineLevel="1">
      <c r="A792" s="332" t="str">
        <f ca="1">"EoP FX Rate, "&amp;HP.TradeCurrency&amp;"/"&amp;MO.ReportCurrency</f>
        <v>EoP FX Rate, USD/USD</v>
      </c>
      <c r="B792" s="528"/>
      <c r="C792" s="1085">
        <f t="shared" si="2303" ref="C792:AH792">IF(INDEX(MO_SNA_IsHistoricalPeriod,1,COLUMN())=FALSE,HP.MRFX,INDEX(MO_SPT_FXEoP,1,COLUMN()))</f>
        <v>1</v>
      </c>
      <c r="D792" s="1085">
        <f t="shared" si="2303"/>
        <v>1</v>
      </c>
      <c r="E792" s="1085">
        <f t="shared" si="2303"/>
        <v>1</v>
      </c>
      <c r="F792" s="1085">
        <f t="shared" si="2303"/>
        <v>1</v>
      </c>
      <c r="G792" s="1085">
        <f t="shared" si="2303"/>
        <v>1</v>
      </c>
      <c r="H792" s="614">
        <f t="shared" si="2303"/>
        <v>1</v>
      </c>
      <c r="I792" s="614">
        <f t="shared" si="2303"/>
        <v>1</v>
      </c>
      <c r="J792" s="614">
        <f t="shared" si="2303"/>
        <v>1</v>
      </c>
      <c r="K792" s="614">
        <f t="shared" si="2303"/>
        <v>1</v>
      </c>
      <c r="L792" s="1085">
        <f t="shared" si="2303"/>
        <v>1</v>
      </c>
      <c r="M792" s="614">
        <f t="shared" si="2303"/>
        <v>1</v>
      </c>
      <c r="N792" s="614">
        <f t="shared" si="2303"/>
        <v>1</v>
      </c>
      <c r="O792" s="614">
        <f t="shared" si="2303"/>
        <v>1</v>
      </c>
      <c r="P792" s="614">
        <f t="shared" si="2303"/>
        <v>1</v>
      </c>
      <c r="Q792" s="1085">
        <f t="shared" si="2303"/>
        <v>1</v>
      </c>
      <c r="R792" s="614">
        <f t="shared" si="2303"/>
        <v>1</v>
      </c>
      <c r="S792" s="614">
        <f t="shared" si="2303"/>
        <v>1</v>
      </c>
      <c r="T792" s="614">
        <f t="shared" si="2303"/>
        <v>1</v>
      </c>
      <c r="U792" s="614">
        <f t="shared" si="2303"/>
        <v>1</v>
      </c>
      <c r="V792" s="1085">
        <f t="shared" si="2303"/>
        <v>1</v>
      </c>
      <c r="W792" s="614">
        <f t="shared" si="2303"/>
        <v>1</v>
      </c>
      <c r="X792" s="614">
        <f t="shared" si="2303"/>
        <v>1</v>
      </c>
      <c r="Y792" s="614">
        <f t="shared" si="2303"/>
        <v>1</v>
      </c>
      <c r="Z792" s="614">
        <f t="shared" si="2303"/>
        <v>1</v>
      </c>
      <c r="AA792" s="1085">
        <f t="shared" si="2303"/>
        <v>1</v>
      </c>
      <c r="AB792" s="614">
        <f t="shared" si="2303"/>
        <v>1</v>
      </c>
      <c r="AC792" s="614">
        <f t="shared" si="2303"/>
        <v>1</v>
      </c>
      <c r="AD792" s="614">
        <f t="shared" si="2303"/>
        <v>1</v>
      </c>
      <c r="AE792" s="614">
        <f t="shared" si="2303"/>
        <v>1</v>
      </c>
      <c r="AF792" s="1085">
        <f t="shared" si="2303"/>
        <v>1</v>
      </c>
      <c r="AG792" s="614">
        <f t="shared" si="2303"/>
        <v>1</v>
      </c>
      <c r="AH792" s="614">
        <f t="shared" si="2303"/>
        <v>1</v>
      </c>
      <c r="AI792" s="614">
        <f t="shared" si="2304" ref="AI792:BE792">IF(INDEX(MO_SNA_IsHistoricalPeriod,1,COLUMN())=FALSE,HP.MRFX,INDEX(MO_SPT_FXEoP,1,COLUMN()))</f>
        <v>1</v>
      </c>
      <c r="AJ792" s="614">
        <f t="shared" si="2304"/>
        <v>1</v>
      </c>
      <c r="AK792" s="1085">
        <f t="shared" si="2304"/>
        <v>1</v>
      </c>
      <c r="AL792" s="614">
        <f t="shared" si="2304"/>
        <v>1</v>
      </c>
      <c r="AM792" s="614">
        <f t="shared" si="2304"/>
        <v>1</v>
      </c>
      <c r="AN792" s="614">
        <f t="shared" si="2304"/>
        <v>1</v>
      </c>
      <c r="AO792" s="614">
        <f t="shared" si="2304"/>
        <v>1</v>
      </c>
      <c r="AP792" s="1086">
        <f t="shared" si="2304"/>
        <v>1</v>
      </c>
      <c r="AQ792" s="614">
        <f t="shared" si="2304"/>
        <v>1</v>
      </c>
      <c r="AR792" s="614">
        <f t="shared" si="2304"/>
        <v>1</v>
      </c>
      <c r="AS792" s="614">
        <f t="shared" si="2304"/>
        <v>1</v>
      </c>
      <c r="AT792" s="614">
        <f t="shared" si="2304"/>
        <v>1</v>
      </c>
      <c r="AU792" s="1086">
        <f t="shared" si="2304"/>
        <v>1</v>
      </c>
      <c r="AV792" s="614">
        <f t="shared" si="2304"/>
        <v>1</v>
      </c>
      <c r="AW792" s="614">
        <f>IF(INDEX(MO_SNA_IsHistoricalPeriod,1,COLUMN())=FALSE,HP.MRFX,INDEX(MO_SPT_FXEoP,1,COLUMN()))</f>
        <v>1</v>
      </c>
      <c r="AX792" s="614">
        <f>IF(INDEX(MO_SNA_IsHistoricalPeriod,1,COLUMN())=FALSE,HP.MRFX,INDEX(MO_SPT_FXEoP,1,COLUMN()))</f>
        <v>1</v>
      </c>
      <c r="AY792" s="614">
        <f t="shared" si="2304"/>
        <v>1</v>
      </c>
      <c r="AZ792" s="1086">
        <f t="shared" si="2304"/>
        <v>1</v>
      </c>
      <c r="BA792" s="614">
        <f>IF(INDEX(MO_SNA_IsHistoricalPeriod,1,COLUMN())=FALSE,HP.MRFX,INDEX(MO_SPT_FXEoP,1,COLUMN()))</f>
        <v>1</v>
      </c>
      <c r="BB792" s="614">
        <f>IF(INDEX(MO_SNA_IsHistoricalPeriod,1,COLUMN())=FALSE,HP.MRFX,INDEX(MO_SPT_FXEoP,1,COLUMN()))</f>
        <v>1</v>
      </c>
      <c r="BC792" s="614">
        <f>IF(INDEX(MO_SNA_IsHistoricalPeriod,1,COLUMN())=FALSE,HP.MRFX,INDEX(MO_SPT_FXEoP,1,COLUMN()))</f>
        <v>1</v>
      </c>
      <c r="BD792" s="632">
        <f>IF(INDEX(MO_SNA_IsHistoricalPeriod,1,COLUMN())=FALSE,HP.MRFX,INDEX(MO_SPT_FXEoP,1,COLUMN()))</f>
        <v>1</v>
      </c>
      <c r="BE792" s="1086">
        <f t="shared" si="2304"/>
        <v>1</v>
      </c>
      <c r="BF792" s="632">
        <f t="shared" si="2305" ref="BF792:BR792">IF(INDEX(MO_SNA_IsHistoricalPeriod,1,COLUMN())=FALSE,HP.MRFX,INDEX(MO_SPT_FXEoP,1,COLUMN()))</f>
        <v>1</v>
      </c>
      <c r="BG792" s="632">
        <f t="shared" si="2305"/>
        <v>1</v>
      </c>
      <c r="BH792" s="815">
        <f>IF(INDEX(MO_SNA_IsHistoricalPeriod,1,COLUMN())=FALSE,HP.MRFX,INDEX(MO_SPT_FXEoP,1,COLUMN()))</f>
        <v>1</v>
      </c>
      <c r="BI792" s="632">
        <f t="shared" ca="1" si="2305"/>
        <v>1</v>
      </c>
      <c r="BJ792" s="1086">
        <f t="shared" ca="1" si="2305"/>
        <v>1</v>
      </c>
      <c r="BK792" s="632">
        <f t="shared" ca="1" si="2305"/>
        <v>1</v>
      </c>
      <c r="BL792" s="632">
        <f t="shared" ca="1" si="2305"/>
        <v>1</v>
      </c>
      <c r="BM792" s="632">
        <f t="shared" ca="1" si="2305"/>
        <v>1</v>
      </c>
      <c r="BN792" s="632">
        <f t="shared" ca="1" si="2305"/>
        <v>1</v>
      </c>
      <c r="BO792" s="1086">
        <f t="shared" ca="1" si="2305"/>
        <v>1</v>
      </c>
      <c r="BP792" s="1086">
        <f t="shared" ca="1" si="2305"/>
        <v>1</v>
      </c>
      <c r="BQ792" s="1086">
        <f t="shared" ca="1" si="2305"/>
        <v>1</v>
      </c>
      <c r="BR792" s="1086">
        <f t="shared" ca="1" si="2305"/>
        <v>1</v>
      </c>
      <c r="BS792" s="325"/>
    </row>
    <row r="793" spans="1:71" s="322" customFormat="1" ht="15" hidden="1" outlineLevel="1">
      <c r="A793" s="328" t="str">
        <f ca="1">"Stock Price (Trading Cur.) - "&amp;MO.ValuationToggle&amp;", "&amp;HP.TradeCurrency</f>
        <v>Stock Price (Trading Cur.) - EoP, USD</v>
      </c>
      <c r="B793" s="527"/>
      <c r="C793" s="1081">
        <f t="shared" si="2306" ref="C793:AH793">IF(INDEX(MO_SNA_IsHistoricalPeriod,1,COLUMN())=FALSE,MO.LastPrice,CHOOSE(VLOOKUP(MO.ValuationToggle,tb_ValuationToggle,COLUMNS(tb_ValuationToggle),FALSE),C787,C788,C789,C790))</f>
        <v>30.53</v>
      </c>
      <c r="D793" s="1081">
        <f t="shared" si="2306"/>
        <v>31.80</v>
      </c>
      <c r="E793" s="1081">
        <f t="shared" si="2306"/>
        <v>27.41</v>
      </c>
      <c r="F793" s="1081">
        <f t="shared" si="2306"/>
        <v>39.86</v>
      </c>
      <c r="G793" s="1081">
        <f t="shared" si="2306"/>
        <v>54.23</v>
      </c>
      <c r="H793" s="330">
        <f t="shared" si="2306"/>
        <v>55.80</v>
      </c>
      <c r="I793" s="330">
        <f t="shared" si="2306"/>
        <v>58.69</v>
      </c>
      <c r="J793" s="330">
        <f t="shared" si="2306"/>
        <v>61.29</v>
      </c>
      <c r="K793" s="330">
        <f t="shared" si="2306"/>
        <v>70.94</v>
      </c>
      <c r="L793" s="1081">
        <f t="shared" si="2306"/>
        <v>70.94</v>
      </c>
      <c r="M793" s="330">
        <f t="shared" si="2306"/>
        <v>70.95</v>
      </c>
      <c r="N793" s="330">
        <f t="shared" si="2306"/>
        <v>64.680000000000007</v>
      </c>
      <c r="O793" s="330">
        <f t="shared" si="2306"/>
        <v>58.36</v>
      </c>
      <c r="P793" s="330">
        <f t="shared" si="2306"/>
        <v>62.81</v>
      </c>
      <c r="Q793" s="1081">
        <f t="shared" si="2306"/>
        <v>62.81</v>
      </c>
      <c r="R793" s="330">
        <f t="shared" si="2306"/>
        <v>67.72</v>
      </c>
      <c r="S793" s="330">
        <f t="shared" si="2306"/>
        <v>68.47</v>
      </c>
      <c r="T793" s="330">
        <f t="shared" si="2306"/>
        <v>68.64</v>
      </c>
      <c r="U793" s="330">
        <f t="shared" si="2306"/>
        <v>74.120000000000005</v>
      </c>
      <c r="V793" s="1081">
        <f t="shared" si="2306"/>
        <v>74.120000000000005</v>
      </c>
      <c r="W793" s="330">
        <f t="shared" si="2306"/>
        <v>81.64</v>
      </c>
      <c r="X793" s="330">
        <f t="shared" si="2306"/>
        <v>88.13</v>
      </c>
      <c r="Y793" s="330">
        <f t="shared" si="2306"/>
        <v>91.91</v>
      </c>
      <c r="Z793" s="330">
        <f t="shared" si="2306"/>
        <v>104.70999999999999</v>
      </c>
      <c r="AA793" s="1081">
        <f t="shared" si="2306"/>
        <v>104.70999999999999</v>
      </c>
      <c r="AB793" s="330">
        <f t="shared" si="2306"/>
        <v>94.80</v>
      </c>
      <c r="AC793" s="330">
        <f t="shared" si="2306"/>
        <v>91.27</v>
      </c>
      <c r="AD793" s="330">
        <f t="shared" si="2306"/>
        <v>98.70</v>
      </c>
      <c r="AE793" s="330">
        <f t="shared" si="2306"/>
        <v>82.02</v>
      </c>
      <c r="AF793" s="1081">
        <f t="shared" si="2306"/>
        <v>82.02</v>
      </c>
      <c r="AG793" s="330">
        <f t="shared" si="2306"/>
        <v>94.18</v>
      </c>
      <c r="AH793" s="330">
        <f t="shared" si="2306"/>
        <v>101.69</v>
      </c>
      <c r="AI793" s="330">
        <f t="shared" si="2307" ref="AI793:BJ793">IF(INDEX(MO_SNA_IsHistoricalPeriod,1,COLUMN())=FALSE,MO.LastPrice,CHOOSE(VLOOKUP(MO.ValuationToggle,tb_ValuationToggle,COLUMNS(tb_ValuationToggle),FALSE),AI787,AI788,AI789,AI790))</f>
        <v>107.83</v>
      </c>
      <c r="AJ793" s="330">
        <f t="shared" si="2307"/>
        <v>111.77</v>
      </c>
      <c r="AK793" s="1081">
        <f t="shared" si="2307"/>
        <v>111.77</v>
      </c>
      <c r="AL793" s="330">
        <f t="shared" si="2307"/>
        <v>94.64</v>
      </c>
      <c r="AM793" s="330">
        <f t="shared" si="2307"/>
        <v>95.44</v>
      </c>
      <c r="AN793" s="330">
        <f t="shared" si="2307"/>
        <v>93.44</v>
      </c>
      <c r="AO793" s="330">
        <f t="shared" si="2307"/>
        <v>108.15000000000001</v>
      </c>
      <c r="AP793" s="1082">
        <f t="shared" si="2307"/>
        <v>108.15000000000001</v>
      </c>
      <c r="AQ793" s="330">
        <f t="shared" si="2307"/>
        <v>117.11</v>
      </c>
      <c r="AR793" s="330">
        <f t="shared" si="2307"/>
        <v>129.56999999999999</v>
      </c>
      <c r="AS793" s="330">
        <f t="shared" si="2307"/>
        <v>129.33000000000001</v>
      </c>
      <c r="AT793" s="330">
        <f t="shared" si="2307"/>
        <v>117.68000000000001</v>
      </c>
      <c r="AU793" s="1082">
        <f t="shared" si="2307"/>
        <v>117.68000000000001</v>
      </c>
      <c r="AV793" s="330">
        <f t="shared" si="2307"/>
        <v>140.38999999999999</v>
      </c>
      <c r="AW793" s="330">
        <f t="shared" si="2307"/>
        <v>125.42</v>
      </c>
      <c r="AX793" s="330">
        <f t="shared" si="2307"/>
        <v>126.13</v>
      </c>
      <c r="AY793" s="330">
        <f t="shared" si="2307"/>
        <v>135.59999999999999</v>
      </c>
      <c r="AZ793" s="1082">
        <f t="shared" si="2307"/>
        <v>135.59999999999999</v>
      </c>
      <c r="BA793" s="330">
        <f t="shared" si="2307"/>
        <v>109.09</v>
      </c>
      <c r="BB793" s="330">
        <f t="shared" si="2307"/>
        <v>109.09</v>
      </c>
      <c r="BC793" s="330">
        <f t="shared" si="2307"/>
        <v>111.41</v>
      </c>
      <c r="BD793" s="630">
        <f t="shared" si="2307"/>
        <v>139.97999999999999</v>
      </c>
      <c r="BE793" s="1082">
        <f t="shared" si="2307"/>
        <v>139.97999999999999</v>
      </c>
      <c r="BF793" s="630">
        <f>IF(INDEX(MO_SNA_IsHistoricalPeriod,1,COLUMN())=FALSE,MO.LastPrice,CHOOSE(VLOOKUP(MO.ValuationToggle,tb_ValuationToggle,COLUMNS(tb_ValuationToggle),FALSE),BF787,BF788,BF789,BF790))</f>
        <v>173.01</v>
      </c>
      <c r="BG793" s="630">
        <f>IF(INDEX(MO_SNA_IsHistoricalPeriod,1,COLUMN())=FALSE,MO.LastPrice,CHOOSE(VLOOKUP(MO.ValuationToggle,tb_ValuationToggle,COLUMNS(tb_ValuationToggle),FALSE),BG787,BG788,BG789,BG790))</f>
        <v>159.66</v>
      </c>
      <c r="BH793" s="813">
        <f>IF(INDEX(MO_SNA_IsHistoricalPeriod,1,COLUMN())=FALSE,MO.LastPrice,CHOOSE(VLOOKUP(MO.ValuationToggle,tb_ValuationToggle,COLUMNS(tb_ValuationToggle),FALSE),BH787,BH788,BH789,BH790))</f>
        <v>188.36</v>
      </c>
      <c r="BI793" s="630">
        <f ca="1">IF(INDEX(MO_SNA_IsHistoricalPeriod,1,COLUMN())=FALSE,MO.LastPrice,CHOOSE(VLOOKUP(MO.ValuationToggle,tb_ValuationToggle,COLUMNS(tb_ValuationToggle),FALSE),BI787,BI788,BI789,BI790))</f>
        <v>186.57</v>
      </c>
      <c r="BJ793" s="1082">
        <f t="shared" ca="1" si="2307"/>
        <v>186.57</v>
      </c>
      <c r="BK793" s="630">
        <f ca="1" t="shared" si="2308" ref="BK793:BR793">IF(INDEX(MO_SNA_IsHistoricalPeriod,1,COLUMN())=FALSE,MO.LastPrice,CHOOSE(VLOOKUP(MO.ValuationToggle,tb_ValuationToggle,COLUMNS(tb_ValuationToggle),FALSE),BK787,BK788,BK789,BK790))</f>
        <v>186.57</v>
      </c>
      <c r="BL793" s="630">
        <f t="shared" ca="1" si="2308"/>
        <v>186.57</v>
      </c>
      <c r="BM793" s="630">
        <f t="shared" ca="1" si="2308"/>
        <v>186.57</v>
      </c>
      <c r="BN793" s="630">
        <f t="shared" ca="1" si="2308"/>
        <v>186.57</v>
      </c>
      <c r="BO793" s="1082">
        <f t="shared" ca="1" si="2308"/>
        <v>186.57</v>
      </c>
      <c r="BP793" s="1082">
        <f t="shared" ca="1" si="2308"/>
        <v>186.57</v>
      </c>
      <c r="BQ793" s="1082">
        <f t="shared" ca="1" si="2308"/>
        <v>186.57</v>
      </c>
      <c r="BR793" s="1082">
        <f t="shared" ca="1" si="2308"/>
        <v>186.57</v>
      </c>
      <c r="BS793" s="301"/>
    </row>
    <row r="794" spans="1:71" s="22" customFormat="1" ht="15" collapsed="1">
      <c r="A794" s="529"/>
      <c r="B794" s="508"/>
      <c r="C794" s="1010"/>
      <c r="D794" s="1010"/>
      <c r="E794" s="1010"/>
      <c r="F794" s="1010"/>
      <c r="G794" s="1010"/>
      <c r="H794" s="840"/>
      <c r="I794" s="840"/>
      <c r="J794" s="840"/>
      <c r="K794" s="840"/>
      <c r="L794" s="1010"/>
      <c r="M794" s="840"/>
      <c r="N794" s="840"/>
      <c r="O794" s="840"/>
      <c r="P794" s="840"/>
      <c r="Q794" s="1010"/>
      <c r="R794" s="840"/>
      <c r="S794" s="840"/>
      <c r="T794" s="840"/>
      <c r="U794" s="840"/>
      <c r="V794" s="1010"/>
      <c r="W794" s="840"/>
      <c r="X794" s="840"/>
      <c r="Y794" s="840"/>
      <c r="Z794" s="840"/>
      <c r="AA794" s="1010"/>
      <c r="AB794" s="840"/>
      <c r="AC794" s="840"/>
      <c r="AD794" s="840"/>
      <c r="AE794" s="840"/>
      <c r="AF794" s="1010"/>
      <c r="AG794" s="840"/>
      <c r="AH794" s="840"/>
      <c r="AI794" s="840"/>
      <c r="AJ794" s="840"/>
      <c r="AK794" s="1010"/>
      <c r="AL794" s="840"/>
      <c r="AM794" s="840"/>
      <c r="AN794" s="840"/>
      <c r="AO794" s="840"/>
      <c r="AP794" s="1010"/>
      <c r="AQ794" s="840"/>
      <c r="AR794" s="840"/>
      <c r="AS794" s="840"/>
      <c r="AT794" s="840"/>
      <c r="AU794" s="1010"/>
      <c r="AV794" s="840"/>
      <c r="AW794" s="840"/>
      <c r="AX794" s="840"/>
      <c r="AY794" s="840"/>
      <c r="AZ794" s="1010"/>
      <c r="BA794" s="840"/>
      <c r="BB794" s="840"/>
      <c r="BC794" s="840"/>
      <c r="BD794" s="840"/>
      <c r="BE794" s="1010"/>
      <c r="BF794" s="840"/>
      <c r="BG794" s="840"/>
      <c r="BH794" s="841"/>
      <c r="BI794" s="840"/>
      <c r="BJ794" s="1010"/>
      <c r="BK794" s="840"/>
      <c r="BL794" s="840"/>
      <c r="BM794" s="840"/>
      <c r="BN794" s="840"/>
      <c r="BO794" s="1010"/>
      <c r="BP794" s="1010"/>
      <c r="BQ794" s="1010"/>
      <c r="BR794" s="1010"/>
      <c r="BS794" s="822"/>
    </row>
    <row r="795" spans="1:71" s="17" customFormat="1" ht="15">
      <c r="A795" s="818" t="s">
        <v>115</v>
      </c>
      <c r="B795" s="818"/>
      <c r="C795" s="837"/>
      <c r="D795" s="837"/>
      <c r="E795" s="837"/>
      <c r="F795" s="837"/>
      <c r="G795" s="837"/>
      <c r="H795" s="837"/>
      <c r="I795" s="837"/>
      <c r="J795" s="837"/>
      <c r="K795" s="837"/>
      <c r="L795" s="837"/>
      <c r="M795" s="837"/>
      <c r="N795" s="837"/>
      <c r="O795" s="837"/>
      <c r="P795" s="837"/>
      <c r="Q795" s="837"/>
      <c r="R795" s="837"/>
      <c r="S795" s="837"/>
      <c r="T795" s="837"/>
      <c r="U795" s="837"/>
      <c r="V795" s="837"/>
      <c r="W795" s="837"/>
      <c r="X795" s="837"/>
      <c r="Y795" s="837"/>
      <c r="Z795" s="837"/>
      <c r="AA795" s="837"/>
      <c r="AB795" s="837"/>
      <c r="AC795" s="837"/>
      <c r="AD795" s="837"/>
      <c r="AE795" s="837"/>
      <c r="AF795" s="837"/>
      <c r="AG795" s="837"/>
      <c r="AH795" s="837"/>
      <c r="AI795" s="837"/>
      <c r="AJ795" s="837"/>
      <c r="AK795" s="837"/>
      <c r="AL795" s="837"/>
      <c r="AM795" s="837"/>
      <c r="AN795" s="837"/>
      <c r="AO795" s="837"/>
      <c r="AP795" s="837"/>
      <c r="AQ795" s="837"/>
      <c r="AR795" s="837"/>
      <c r="AS795" s="837"/>
      <c r="AT795" s="837"/>
      <c r="AU795" s="837"/>
      <c r="AV795" s="837"/>
      <c r="AW795" s="837"/>
      <c r="AX795" s="837"/>
      <c r="AY795" s="837"/>
      <c r="AZ795" s="837"/>
      <c r="BA795" s="837"/>
      <c r="BB795" s="837"/>
      <c r="BC795" s="837"/>
      <c r="BD795" s="837"/>
      <c r="BE795" s="837"/>
      <c r="BF795" s="837"/>
      <c r="BG795" s="837"/>
      <c r="BH795" s="838"/>
      <c r="BI795" s="837"/>
      <c r="BJ795" s="837"/>
      <c r="BK795" s="837"/>
      <c r="BL795" s="837"/>
      <c r="BM795" s="837"/>
      <c r="BN795" s="837"/>
      <c r="BO795" s="837"/>
      <c r="BP795" s="837"/>
      <c r="BQ795" s="837"/>
      <c r="BR795" s="837"/>
      <c r="BS795" s="457"/>
    </row>
    <row r="796" spans="1:71" s="17" customFormat="1" ht="15" hidden="1" outlineLevel="1">
      <c r="A796" s="46" t="s">
        <v>116</v>
      </c>
      <c r="B796" s="509"/>
      <c r="C796" s="1027"/>
      <c r="D796" s="1027"/>
      <c r="E796" s="1027"/>
      <c r="F796" s="1027"/>
      <c r="G796" s="1027"/>
      <c r="H796" s="843"/>
      <c r="I796" s="843"/>
      <c r="J796" s="843"/>
      <c r="K796" s="843"/>
      <c r="L796" s="1027"/>
      <c r="M796" s="843"/>
      <c r="N796" s="843"/>
      <c r="O796" s="843"/>
      <c r="P796" s="843"/>
      <c r="Q796" s="1027"/>
      <c r="R796" s="843"/>
      <c r="S796" s="843"/>
      <c r="T796" s="843"/>
      <c r="U796" s="843"/>
      <c r="V796" s="1027"/>
      <c r="W796" s="843"/>
      <c r="X796" s="843"/>
      <c r="Y796" s="843"/>
      <c r="Z796" s="843"/>
      <c r="AA796" s="1027"/>
      <c r="AB796" s="843"/>
      <c r="AC796" s="843"/>
      <c r="AD796" s="843"/>
      <c r="AE796" s="843"/>
      <c r="AF796" s="1027"/>
      <c r="AG796" s="843"/>
      <c r="AH796" s="843"/>
      <c r="AI796" s="843"/>
      <c r="AJ796" s="843"/>
      <c r="AK796" s="1027"/>
      <c r="AL796" s="843"/>
      <c r="AM796" s="843"/>
      <c r="AN796" s="843"/>
      <c r="AO796" s="843"/>
      <c r="AP796" s="1027"/>
      <c r="AQ796" s="843"/>
      <c r="AR796" s="843"/>
      <c r="AS796" s="843"/>
      <c r="AT796" s="843"/>
      <c r="AU796" s="1027"/>
      <c r="AV796" s="843"/>
      <c r="AW796" s="843"/>
      <c r="AX796" s="843"/>
      <c r="AY796" s="843"/>
      <c r="AZ796" s="1027"/>
      <c r="BA796" s="843"/>
      <c r="BB796" s="843"/>
      <c r="BC796" s="843"/>
      <c r="BD796" s="843"/>
      <c r="BE796" s="1027"/>
      <c r="BF796" s="843"/>
      <c r="BG796" s="843"/>
      <c r="BH796" s="844"/>
      <c r="BI796" s="843"/>
      <c r="BJ796" s="1027"/>
      <c r="BK796" s="843"/>
      <c r="BL796" s="843"/>
      <c r="BM796" s="843"/>
      <c r="BN796" s="843"/>
      <c r="BO796" s="1027"/>
      <c r="BP796" s="1027"/>
      <c r="BQ796" s="1027"/>
      <c r="BR796" s="1027"/>
      <c r="BS796" s="457"/>
    </row>
    <row r="797" spans="1:71" s="300" customFormat="1" ht="15" hidden="1" outlineLevel="1">
      <c r="A797" s="304" t="s">
        <v>54</v>
      </c>
      <c r="B797" s="166"/>
      <c r="C797" s="988">
        <v>854</v>
      </c>
      <c r="D797" s="988">
        <v>928</v>
      </c>
      <c r="E797" s="988">
        <v>787</v>
      </c>
      <c r="F797" s="988">
        <v>2306</v>
      </c>
      <c r="G797" s="988">
        <v>2280</v>
      </c>
      <c r="H797" s="897">
        <v>600</v>
      </c>
      <c r="I797" s="897">
        <v>1245</v>
      </c>
      <c r="J797" s="897">
        <v>2026</v>
      </c>
      <c r="K797" s="305">
        <f>L797</f>
        <v>2850</v>
      </c>
      <c r="L797" s="988">
        <v>2850</v>
      </c>
      <c r="M797" s="897">
        <v>677</v>
      </c>
      <c r="N797" s="897">
        <v>1032</v>
      </c>
      <c r="O797" s="897">
        <v>1682</v>
      </c>
      <c r="P797" s="305">
        <f>Q797</f>
        <v>2171</v>
      </c>
      <c r="Q797" s="988">
        <v>2171</v>
      </c>
      <c r="R797" s="897">
        <v>246</v>
      </c>
      <c r="S797" s="897">
        <v>517</v>
      </c>
      <c r="T797" s="897">
        <v>1037</v>
      </c>
      <c r="U797" s="305">
        <f>V797</f>
        <v>1877</v>
      </c>
      <c r="V797" s="988">
        <v>1877</v>
      </c>
      <c r="W797" s="897">
        <v>695</v>
      </c>
      <c r="X797" s="897">
        <v>1274</v>
      </c>
      <c r="Y797" s="897">
        <v>1940</v>
      </c>
      <c r="Z797" s="305">
        <f>AA797</f>
        <v>3189</v>
      </c>
      <c r="AA797" s="988">
        <v>3189</v>
      </c>
      <c r="AB797" s="897">
        <v>975</v>
      </c>
      <c r="AC797" s="897">
        <v>1651</v>
      </c>
      <c r="AD797" s="897">
        <v>2521</v>
      </c>
      <c r="AE797" s="305">
        <f>AF797</f>
        <v>2252</v>
      </c>
      <c r="AF797" s="988">
        <v>2252</v>
      </c>
      <c r="AG797" s="897">
        <v>1292</v>
      </c>
      <c r="AH797" s="897">
        <v>2143</v>
      </c>
      <c r="AI797" s="897">
        <v>3074</v>
      </c>
      <c r="AJ797" s="305">
        <f t="shared" si="2309" ref="AJ797:AJ806">AK797</f>
        <v>4847</v>
      </c>
      <c r="AK797" s="988">
        <v>4847</v>
      </c>
      <c r="AL797" s="897">
        <v>549</v>
      </c>
      <c r="AM797" s="897">
        <v>1799</v>
      </c>
      <c r="AN797" s="897">
        <v>2952</v>
      </c>
      <c r="AO797" s="92">
        <f t="shared" si="2310" ref="AO797:AO806">AP797</f>
        <v>5576</v>
      </c>
      <c r="AP797" s="988">
        <v>5576</v>
      </c>
      <c r="AQ797" s="897">
        <v>-1387</v>
      </c>
      <c r="AR797" s="897">
        <v>244</v>
      </c>
      <c r="AS797" s="897">
        <v>775</v>
      </c>
      <c r="AT797" s="92">
        <f t="shared" si="2311" ref="AT797:AT806">AU797</f>
        <v>1566</v>
      </c>
      <c r="AU797" s="988">
        <v>1566</v>
      </c>
      <c r="AV797" s="897">
        <v>650</v>
      </c>
      <c r="AW797" s="897">
        <v>-372</v>
      </c>
      <c r="AX797" s="897">
        <v>-1046</v>
      </c>
      <c r="AY797" s="92">
        <f t="shared" si="2312" ref="AY797:AY806">AZ797</f>
        <v>-1342</v>
      </c>
      <c r="AZ797" s="988">
        <v>-1342</v>
      </c>
      <c r="BA797" s="897">
        <v>-321</v>
      </c>
      <c r="BB797" s="897">
        <v>-1696</v>
      </c>
      <c r="BC797" s="897">
        <v>-1700</v>
      </c>
      <c r="BD797" s="92">
        <f t="shared" si="2313" ref="BD797:BD804">BE797</f>
        <v>-213</v>
      </c>
      <c r="BE797" s="988">
        <v>-213</v>
      </c>
      <c r="BF797" s="897">
        <v>1198</v>
      </c>
      <c r="BG797" s="897">
        <v>1545</v>
      </c>
      <c r="BH797" s="898">
        <v>2709</v>
      </c>
      <c r="BI797" s="92">
        <f t="shared" si="2314" ref="BI797:BI806">BJ797</f>
        <v>0</v>
      </c>
      <c r="BJ797" s="989"/>
      <c r="BK797" s="92"/>
      <c r="BL797" s="92"/>
      <c r="BM797" s="92"/>
      <c r="BN797" s="92">
        <f t="shared" si="2315" ref="BN797:BN806">BO797</f>
        <v>0</v>
      </c>
      <c r="BO797" s="989"/>
      <c r="BP797" s="989"/>
      <c r="BQ797" s="989"/>
      <c r="BR797" s="989"/>
      <c r="BS797" s="305"/>
    </row>
    <row r="798" spans="1:71" s="300" customFormat="1" ht="15" hidden="1" outlineLevel="1">
      <c r="A798" s="304" t="s">
        <v>117</v>
      </c>
      <c r="B798" s="166"/>
      <c r="C798" s="988">
        <v>-91</v>
      </c>
      <c r="D798" s="988">
        <v>94</v>
      </c>
      <c r="E798" s="988">
        <v>252</v>
      </c>
      <c r="F798" s="988">
        <v>388</v>
      </c>
      <c r="G798" s="988">
        <v>368</v>
      </c>
      <c r="H798" s="897">
        <v>98</v>
      </c>
      <c r="I798" s="897">
        <v>189</v>
      </c>
      <c r="J798" s="897">
        <v>277</v>
      </c>
      <c r="K798" s="305">
        <f>L798</f>
        <v>366</v>
      </c>
      <c r="L798" s="988">
        <v>366</v>
      </c>
      <c r="M798" s="897">
        <v>87</v>
      </c>
      <c r="N798" s="897">
        <v>179</v>
      </c>
      <c r="O798" s="897">
        <v>275</v>
      </c>
      <c r="P798" s="305">
        <f>Q798</f>
        <v>371</v>
      </c>
      <c r="Q798" s="988">
        <v>371</v>
      </c>
      <c r="R798" s="897">
        <v>91</v>
      </c>
      <c r="S798" s="897">
        <v>188</v>
      </c>
      <c r="T798" s="897">
        <v>285</v>
      </c>
      <c r="U798" s="305">
        <f>V798</f>
        <v>382</v>
      </c>
      <c r="V798" s="988">
        <v>382</v>
      </c>
      <c r="W798" s="897">
        <v>119</v>
      </c>
      <c r="X798" s="897">
        <v>238</v>
      </c>
      <c r="Y798" s="897">
        <v>358</v>
      </c>
      <c r="Z798" s="305">
        <f>AA798</f>
        <v>483</v>
      </c>
      <c r="AA798" s="988">
        <v>483</v>
      </c>
      <c r="AB798" s="897">
        <v>122</v>
      </c>
      <c r="AC798" s="897">
        <v>248</v>
      </c>
      <c r="AD798" s="897">
        <v>376</v>
      </c>
      <c r="AE798" s="305">
        <f>AF798</f>
        <v>511</v>
      </c>
      <c r="AF798" s="988">
        <v>511</v>
      </c>
      <c r="AG798" s="897">
        <v>157</v>
      </c>
      <c r="AH798" s="897">
        <v>317</v>
      </c>
      <c r="AI798" s="897">
        <v>476</v>
      </c>
      <c r="AJ798" s="305">
        <f t="shared" si="2309"/>
        <v>647</v>
      </c>
      <c r="AK798" s="988">
        <v>647</v>
      </c>
      <c r="AL798" s="897">
        <v>155</v>
      </c>
      <c r="AM798" s="897">
        <v>318</v>
      </c>
      <c r="AN798" s="897">
        <v>500</v>
      </c>
      <c r="AO798" s="92">
        <f t="shared" si="2310"/>
        <v>686</v>
      </c>
      <c r="AP798" s="988">
        <v>686</v>
      </c>
      <c r="AQ798" s="897">
        <v>260</v>
      </c>
      <c r="AR798" s="897">
        <v>571</v>
      </c>
      <c r="AS798" s="897">
        <v>818</v>
      </c>
      <c r="AT798" s="92">
        <f t="shared" si="2311"/>
        <v>1086</v>
      </c>
      <c r="AU798" s="988">
        <v>1086</v>
      </c>
      <c r="AV798" s="897">
        <v>236</v>
      </c>
      <c r="AW798" s="897">
        <v>452</v>
      </c>
      <c r="AX798" s="897">
        <v>646</v>
      </c>
      <c r="AY798" s="92">
        <f t="shared" si="2312"/>
        <v>847</v>
      </c>
      <c r="AZ798" s="988">
        <v>847</v>
      </c>
      <c r="BA798" s="897">
        <v>177</v>
      </c>
      <c r="BB798" s="897">
        <v>363</v>
      </c>
      <c r="BC798" s="897">
        <v>539</v>
      </c>
      <c r="BD798" s="92">
        <f t="shared" si="2313"/>
        <v>704</v>
      </c>
      <c r="BE798" s="988">
        <v>704</v>
      </c>
      <c r="BF798" s="897">
        <v>132</v>
      </c>
      <c r="BG798" s="897">
        <v>264</v>
      </c>
      <c r="BH798" s="898">
        <v>404</v>
      </c>
      <c r="BI798" s="92">
        <f t="shared" si="2314"/>
        <v>0</v>
      </c>
      <c r="BJ798" s="989"/>
      <c r="BK798" s="92"/>
      <c r="BL798" s="92"/>
      <c r="BM798" s="92"/>
      <c r="BN798" s="92">
        <f t="shared" si="2315"/>
        <v>0</v>
      </c>
      <c r="BO798" s="989"/>
      <c r="BP798" s="989"/>
      <c r="BQ798" s="989"/>
      <c r="BR798" s="989"/>
      <c r="BS798" s="305"/>
    </row>
    <row r="799" spans="1:71" s="300" customFormat="1" ht="15" hidden="1" outlineLevel="1">
      <c r="A799" s="304" t="s">
        <v>118</v>
      </c>
      <c r="B799" s="166"/>
      <c r="C799" s="988">
        <v>583</v>
      </c>
      <c r="D799" s="988">
        <v>827</v>
      </c>
      <c r="E799" s="988">
        <v>-503</v>
      </c>
      <c r="F799" s="988">
        <v>-327</v>
      </c>
      <c r="G799" s="988">
        <v>-594</v>
      </c>
      <c r="H799" s="897">
        <v>-54</v>
      </c>
      <c r="I799" s="897">
        <v>-294</v>
      </c>
      <c r="J799" s="897">
        <v>-588</v>
      </c>
      <c r="K799" s="305">
        <f>L799</f>
        <v>-694</v>
      </c>
      <c r="L799" s="988">
        <v>-694</v>
      </c>
      <c r="M799" s="897">
        <v>-139</v>
      </c>
      <c r="N799" s="897">
        <v>-247</v>
      </c>
      <c r="O799" s="897">
        <v>-280</v>
      </c>
      <c r="P799" s="305">
        <f>Q799</f>
        <v>-30</v>
      </c>
      <c r="Q799" s="988">
        <v>-30</v>
      </c>
      <c r="R799" s="897">
        <v>149</v>
      </c>
      <c r="S799" s="897">
        <v>125</v>
      </c>
      <c r="T799" s="897">
        <v>92</v>
      </c>
      <c r="U799" s="305">
        <f>V799</f>
        <v>90</v>
      </c>
      <c r="V799" s="988">
        <v>90</v>
      </c>
      <c r="W799" s="897">
        <v>-134</v>
      </c>
      <c r="X799" s="897">
        <v>-215</v>
      </c>
      <c r="Y799" s="897">
        <v>-318</v>
      </c>
      <c r="Z799" s="305">
        <f>AA799</f>
        <v>-445</v>
      </c>
      <c r="AA799" s="988">
        <v>-445</v>
      </c>
      <c r="AB799" s="897">
        <v>134</v>
      </c>
      <c r="AC799" s="897">
        <v>159</v>
      </c>
      <c r="AD799" s="897">
        <v>-17</v>
      </c>
      <c r="AE799" s="305">
        <f>AF799</f>
        <v>877</v>
      </c>
      <c r="AF799" s="988">
        <v>877</v>
      </c>
      <c r="AG799" s="897">
        <v>-662</v>
      </c>
      <c r="AH799" s="897">
        <v>-986</v>
      </c>
      <c r="AI799" s="897">
        <v>-1183</v>
      </c>
      <c r="AJ799" s="305">
        <f t="shared" si="2309"/>
        <v>-1885</v>
      </c>
      <c r="AK799" s="988">
        <v>-1885</v>
      </c>
      <c r="AL799" s="897">
        <v>462</v>
      </c>
      <c r="AM799" s="897">
        <v>-242</v>
      </c>
      <c r="AN799" s="897">
        <v>-682</v>
      </c>
      <c r="AO799" s="92">
        <f t="shared" si="2310"/>
        <v>-1356</v>
      </c>
      <c r="AP799" s="988">
        <v>-1356</v>
      </c>
      <c r="AQ799" s="897">
        <v>-505</v>
      </c>
      <c r="AR799" s="897">
        <v>-902</v>
      </c>
      <c r="AS799" s="897">
        <v>-1011</v>
      </c>
      <c r="AT799" s="92">
        <f t="shared" si="2311"/>
        <v>-1279</v>
      </c>
      <c r="AU799" s="988">
        <v>-1279</v>
      </c>
      <c r="AV799" s="897">
        <v>267</v>
      </c>
      <c r="AW799" s="897">
        <v>1000</v>
      </c>
      <c r="AX799" s="897">
        <v>1167</v>
      </c>
      <c r="AY799" s="92">
        <f t="shared" si="2312"/>
        <v>1072</v>
      </c>
      <c r="AZ799" s="988">
        <v>1072</v>
      </c>
      <c r="BA799" s="897">
        <v>-14</v>
      </c>
      <c r="BB799" s="897">
        <v>137</v>
      </c>
      <c r="BC799" s="897">
        <v>223</v>
      </c>
      <c r="BD799" s="92">
        <f t="shared" si="2313"/>
        <v>300</v>
      </c>
      <c r="BE799" s="988">
        <v>300</v>
      </c>
      <c r="BF799" s="897">
        <v>164</v>
      </c>
      <c r="BG799" s="897">
        <v>267</v>
      </c>
      <c r="BH799" s="898">
        <v>24</v>
      </c>
      <c r="BI799" s="92">
        <f t="shared" si="2314"/>
        <v>0</v>
      </c>
      <c r="BJ799" s="989"/>
      <c r="BK799" s="92"/>
      <c r="BL799" s="92"/>
      <c r="BM799" s="92"/>
      <c r="BN799" s="92">
        <f t="shared" si="2315"/>
        <v>0</v>
      </c>
      <c r="BO799" s="989"/>
      <c r="BP799" s="989"/>
      <c r="BQ799" s="989"/>
      <c r="BR799" s="989"/>
      <c r="BS799" s="305"/>
    </row>
    <row r="800" spans="1:71" s="300" customFormat="1" ht="15" hidden="1" outlineLevel="1">
      <c r="A800" s="304" t="s">
        <v>296</v>
      </c>
      <c r="B800" s="166"/>
      <c r="C800" s="989"/>
      <c r="D800" s="989"/>
      <c r="E800" s="989"/>
      <c r="F800" s="989"/>
      <c r="G800" s="989"/>
      <c r="H800" s="92"/>
      <c r="I800" s="92"/>
      <c r="J800" s="92"/>
      <c r="K800" s="92"/>
      <c r="L800" s="989"/>
      <c r="M800" s="92"/>
      <c r="N800" s="92"/>
      <c r="O800" s="92"/>
      <c r="P800" s="92"/>
      <c r="Q800" s="989"/>
      <c r="R800" s="92"/>
      <c r="S800" s="92"/>
      <c r="T800" s="92"/>
      <c r="U800" s="92"/>
      <c r="V800" s="989"/>
      <c r="W800" s="92"/>
      <c r="X800" s="92"/>
      <c r="Y800" s="92"/>
      <c r="Z800" s="92"/>
      <c r="AA800" s="989"/>
      <c r="AB800" s="92"/>
      <c r="AC800" s="92"/>
      <c r="AD800" s="92"/>
      <c r="AE800" s="92"/>
      <c r="AF800" s="989"/>
      <c r="AG800" s="897">
        <v>15</v>
      </c>
      <c r="AH800" s="897">
        <v>140</v>
      </c>
      <c r="AI800" s="897">
        <v>365</v>
      </c>
      <c r="AJ800" s="305">
        <f t="shared" si="2309"/>
        <v>114</v>
      </c>
      <c r="AK800" s="988">
        <v>114</v>
      </c>
      <c r="AL800" s="897">
        <v>318</v>
      </c>
      <c r="AM800" s="897">
        <v>391</v>
      </c>
      <c r="AN800" s="897">
        <v>320</v>
      </c>
      <c r="AO800" s="92">
        <f t="shared" si="2310"/>
        <v>-51</v>
      </c>
      <c r="AP800" s="988">
        <v>-51</v>
      </c>
      <c r="AQ800" s="897">
        <v>-310</v>
      </c>
      <c r="AR800" s="897">
        <v>-444</v>
      </c>
      <c r="AS800" s="897">
        <v>-404</v>
      </c>
      <c r="AT800" s="92">
        <f t="shared" si="2311"/>
        <v>-644</v>
      </c>
      <c r="AU800" s="988">
        <v>-644</v>
      </c>
      <c r="AV800" s="897">
        <v>-247</v>
      </c>
      <c r="AW800" s="897">
        <v>12</v>
      </c>
      <c r="AX800" s="897">
        <v>91</v>
      </c>
      <c r="AY800" s="92">
        <f t="shared" si="2312"/>
        <v>116</v>
      </c>
      <c r="AZ800" s="988">
        <v>116</v>
      </c>
      <c r="BA800" s="897">
        <v>-53</v>
      </c>
      <c r="BB800" s="897">
        <v>-93</v>
      </c>
      <c r="BC800" s="897">
        <v>56</v>
      </c>
      <c r="BD800" s="92">
        <f t="shared" si="2313"/>
        <v>9</v>
      </c>
      <c r="BE800" s="988">
        <v>9</v>
      </c>
      <c r="BF800" s="897">
        <v>-2</v>
      </c>
      <c r="BG800" s="897">
        <v>-11</v>
      </c>
      <c r="BH800" s="898">
        <v>15</v>
      </c>
      <c r="BI800" s="92">
        <f t="shared" si="2314"/>
        <v>0</v>
      </c>
      <c r="BJ800" s="989"/>
      <c r="BK800" s="92"/>
      <c r="BL800" s="92"/>
      <c r="BM800" s="92"/>
      <c r="BN800" s="92">
        <f t="shared" si="2315"/>
        <v>0</v>
      </c>
      <c r="BO800" s="989"/>
      <c r="BP800" s="989"/>
      <c r="BQ800" s="989"/>
      <c r="BR800" s="989"/>
      <c r="BS800" s="305"/>
    </row>
    <row r="801" spans="1:71" s="300" customFormat="1" ht="15" hidden="1" outlineLevel="1">
      <c r="A801" s="304" t="s">
        <v>48</v>
      </c>
      <c r="B801" s="166"/>
      <c r="C801" s="989"/>
      <c r="D801" s="989"/>
      <c r="E801" s="989"/>
      <c r="F801" s="989"/>
      <c r="G801" s="988">
        <v>491</v>
      </c>
      <c r="H801" s="92"/>
      <c r="I801" s="897">
        <v>1</v>
      </c>
      <c r="J801" s="897">
        <v>1</v>
      </c>
      <c r="K801" s="305">
        <f>L801</f>
        <v>1</v>
      </c>
      <c r="L801" s="988">
        <v>1</v>
      </c>
      <c r="M801" s="92"/>
      <c r="N801" s="92"/>
      <c r="O801" s="92"/>
      <c r="P801" s="305">
        <f>Q801</f>
        <v>0</v>
      </c>
      <c r="Q801" s="988">
        <v>0</v>
      </c>
      <c r="R801" s="92"/>
      <c r="S801" s="92"/>
      <c r="T801" s="92"/>
      <c r="U801" s="305">
        <f>V801</f>
        <v>0</v>
      </c>
      <c r="V801" s="988">
        <v>0</v>
      </c>
      <c r="W801" s="92"/>
      <c r="X801" s="92"/>
      <c r="Y801" s="92"/>
      <c r="Z801" s="305">
        <f>AA801</f>
        <v>0</v>
      </c>
      <c r="AA801" s="988">
        <v>0</v>
      </c>
      <c r="AB801" s="92"/>
      <c r="AC801" s="92"/>
      <c r="AD801" s="92"/>
      <c r="AE801" s="305">
        <f>AF801</f>
        <v>0</v>
      </c>
      <c r="AF801" s="989"/>
      <c r="AG801" s="92"/>
      <c r="AH801" s="92"/>
      <c r="AI801" s="92"/>
      <c r="AJ801" s="305">
        <f t="shared" si="2309"/>
        <v>0</v>
      </c>
      <c r="AK801" s="989"/>
      <c r="AL801" s="92"/>
      <c r="AM801" s="92"/>
      <c r="AN801" s="92"/>
      <c r="AO801" s="92">
        <f t="shared" si="2310"/>
        <v>0</v>
      </c>
      <c r="AP801" s="989"/>
      <c r="AQ801" s="92"/>
      <c r="AR801" s="92"/>
      <c r="AS801" s="92"/>
      <c r="AT801" s="92">
        <f t="shared" si="2311"/>
        <v>0</v>
      </c>
      <c r="AU801" s="989"/>
      <c r="AV801" s="92"/>
      <c r="AW801" s="92"/>
      <c r="AX801" s="92"/>
      <c r="AY801" s="92">
        <f t="shared" si="2312"/>
        <v>0</v>
      </c>
      <c r="AZ801" s="989"/>
      <c r="BA801" s="92"/>
      <c r="BB801" s="92"/>
      <c r="BC801" s="92"/>
      <c r="BD801" s="92">
        <f t="shared" si="2313"/>
        <v>0</v>
      </c>
      <c r="BE801" s="989"/>
      <c r="BF801" s="92"/>
      <c r="BG801" s="92"/>
      <c r="BH801" s="464"/>
      <c r="BI801" s="92">
        <f t="shared" si="2314"/>
        <v>0</v>
      </c>
      <c r="BJ801" s="989"/>
      <c r="BK801" s="92"/>
      <c r="BL801" s="92"/>
      <c r="BM801" s="92"/>
      <c r="BN801" s="92">
        <f t="shared" si="2315"/>
        <v>0</v>
      </c>
      <c r="BO801" s="989"/>
      <c r="BP801" s="989"/>
      <c r="BQ801" s="989"/>
      <c r="BR801" s="989"/>
      <c r="BS801" s="305"/>
    </row>
    <row r="802" spans="1:71" s="300" customFormat="1" ht="15" hidden="1" outlineLevel="1">
      <c r="A802" s="304" t="s">
        <v>119</v>
      </c>
      <c r="B802" s="166"/>
      <c r="C802" s="988">
        <v>-7</v>
      </c>
      <c r="D802" s="988">
        <v>-11</v>
      </c>
      <c r="E802" s="988">
        <v>7</v>
      </c>
      <c r="F802" s="988">
        <v>-18</v>
      </c>
      <c r="G802" s="988">
        <v>688</v>
      </c>
      <c r="H802" s="897">
        <v>59</v>
      </c>
      <c r="I802" s="897">
        <v>50</v>
      </c>
      <c r="J802" s="897">
        <v>77</v>
      </c>
      <c r="K802" s="305">
        <f>L802</f>
        <v>74</v>
      </c>
      <c r="L802" s="988">
        <v>74</v>
      </c>
      <c r="M802" s="897">
        <v>1</v>
      </c>
      <c r="N802" s="897">
        <v>0</v>
      </c>
      <c r="O802" s="897">
        <v>-2</v>
      </c>
      <c r="P802" s="305">
        <f>Q802</f>
        <v>-3</v>
      </c>
      <c r="Q802" s="988">
        <v>-3</v>
      </c>
      <c r="R802" s="897">
        <v>-2</v>
      </c>
      <c r="S802" s="897">
        <v>-3</v>
      </c>
      <c r="T802" s="897">
        <v>-4</v>
      </c>
      <c r="U802" s="305">
        <f>V802</f>
        <v>-5</v>
      </c>
      <c r="V802" s="988">
        <v>-5</v>
      </c>
      <c r="W802" s="897">
        <v>-2</v>
      </c>
      <c r="X802" s="897">
        <v>-14</v>
      </c>
      <c r="Y802" s="897">
        <v>-15</v>
      </c>
      <c r="Z802" s="305">
        <f>AA802</f>
        <v>-20</v>
      </c>
      <c r="AA802" s="988">
        <v>-20</v>
      </c>
      <c r="AB802" s="897">
        <v>-1</v>
      </c>
      <c r="AC802" s="897">
        <v>-3</v>
      </c>
      <c r="AD802" s="897">
        <v>-4</v>
      </c>
      <c r="AE802" s="305">
        <f>AF802</f>
        <v>-6</v>
      </c>
      <c r="AF802" s="988">
        <v>-6</v>
      </c>
      <c r="AG802" s="897">
        <v>-1</v>
      </c>
      <c r="AH802" s="897">
        <v>-3</v>
      </c>
      <c r="AI802" s="897">
        <v>-3</v>
      </c>
      <c r="AJ802" s="305">
        <f t="shared" si="2309"/>
        <v>-6</v>
      </c>
      <c r="AK802" s="988">
        <v>-6</v>
      </c>
      <c r="AL802" s="897">
        <v>-1</v>
      </c>
      <c r="AM802" s="897">
        <v>-2</v>
      </c>
      <c r="AN802" s="897">
        <v>-3</v>
      </c>
      <c r="AO802" s="92">
        <f t="shared" si="2310"/>
        <v>-4</v>
      </c>
      <c r="AP802" s="988">
        <v>-4</v>
      </c>
      <c r="AQ802" s="897">
        <v>-2</v>
      </c>
      <c r="AR802" s="897">
        <v>-4</v>
      </c>
      <c r="AS802" s="897">
        <v>-5</v>
      </c>
      <c r="AT802" s="92">
        <f t="shared" si="2311"/>
        <v>-4</v>
      </c>
      <c r="AU802" s="988">
        <v>-4</v>
      </c>
      <c r="AV802" s="92"/>
      <c r="AW802" s="897">
        <v>0</v>
      </c>
      <c r="AX802" s="92"/>
      <c r="AY802" s="92">
        <f t="shared" si="2312"/>
        <v>0</v>
      </c>
      <c r="AZ802" s="989"/>
      <c r="BA802" s="92"/>
      <c r="BB802" s="92"/>
      <c r="BC802" s="92"/>
      <c r="BD802" s="92">
        <f t="shared" si="2313"/>
        <v>0</v>
      </c>
      <c r="BE802" s="989"/>
      <c r="BF802" s="92"/>
      <c r="BG802" s="92"/>
      <c r="BH802" s="464"/>
      <c r="BI802" s="92">
        <f t="shared" si="2314"/>
        <v>0</v>
      </c>
      <c r="BJ802" s="989"/>
      <c r="BK802" s="92"/>
      <c r="BL802" s="92"/>
      <c r="BM802" s="92"/>
      <c r="BN802" s="92">
        <f t="shared" si="2315"/>
        <v>0</v>
      </c>
      <c r="BO802" s="989"/>
      <c r="BP802" s="989"/>
      <c r="BQ802" s="989"/>
      <c r="BR802" s="989"/>
      <c r="BS802" s="305"/>
    </row>
    <row r="803" spans="1:71" s="300" customFormat="1" ht="15" hidden="1" outlineLevel="1">
      <c r="A803" s="304" t="s">
        <v>59</v>
      </c>
      <c r="B803" s="166"/>
      <c r="C803" s="989"/>
      <c r="D803" s="989"/>
      <c r="E803" s="989"/>
      <c r="F803" s="989"/>
      <c r="G803" s="989"/>
      <c r="H803" s="92"/>
      <c r="I803" s="92"/>
      <c r="J803" s="92"/>
      <c r="K803" s="92"/>
      <c r="L803" s="989"/>
      <c r="M803" s="92"/>
      <c r="N803" s="92"/>
      <c r="O803" s="92"/>
      <c r="P803" s="92"/>
      <c r="Q803" s="989"/>
      <c r="R803" s="92"/>
      <c r="S803" s="92"/>
      <c r="T803" s="92"/>
      <c r="U803" s="92"/>
      <c r="V803" s="989"/>
      <c r="W803" s="92"/>
      <c r="X803" s="92"/>
      <c r="Y803" s="92"/>
      <c r="Z803" s="92"/>
      <c r="AA803" s="989"/>
      <c r="AB803" s="92"/>
      <c r="AC803" s="92"/>
      <c r="AD803" s="92"/>
      <c r="AE803" s="92"/>
      <c r="AF803" s="989"/>
      <c r="AG803" s="92"/>
      <c r="AH803" s="92"/>
      <c r="AI803" s="92"/>
      <c r="AJ803" s="305">
        <f t="shared" si="2309"/>
        <v>0</v>
      </c>
      <c r="AK803" s="989"/>
      <c r="AL803" s="92"/>
      <c r="AM803" s="92"/>
      <c r="AN803" s="92"/>
      <c r="AO803" s="92">
        <f t="shared" si="2310"/>
        <v>0</v>
      </c>
      <c r="AP803" s="989"/>
      <c r="AQ803" s="92"/>
      <c r="AR803" s="92"/>
      <c r="AS803" s="92"/>
      <c r="AT803" s="305">
        <f t="shared" si="2311"/>
        <v>0</v>
      </c>
      <c r="AU803" s="989"/>
      <c r="AV803" s="92"/>
      <c r="AW803" s="92"/>
      <c r="AX803" s="92"/>
      <c r="AY803" s="305">
        <f t="shared" si="2312"/>
        <v>0</v>
      </c>
      <c r="AZ803" s="989"/>
      <c r="BA803" s="92"/>
      <c r="BB803" s="92"/>
      <c r="BC803" s="92"/>
      <c r="BD803" s="92">
        <f t="shared" si="2313"/>
        <v>0</v>
      </c>
      <c r="BE803" s="989"/>
      <c r="BF803" s="92"/>
      <c r="BG803" s="92"/>
      <c r="BH803" s="464"/>
      <c r="BI803" s="92">
        <f t="shared" si="2314"/>
        <v>0</v>
      </c>
      <c r="BJ803" s="989"/>
      <c r="BK803" s="92"/>
      <c r="BL803" s="92"/>
      <c r="BM803" s="92"/>
      <c r="BN803" s="92">
        <f t="shared" si="2315"/>
        <v>0</v>
      </c>
      <c r="BO803" s="989"/>
      <c r="BP803" s="989"/>
      <c r="BQ803" s="989"/>
      <c r="BR803" s="989"/>
      <c r="BS803" s="305"/>
    </row>
    <row r="804" spans="1:71" s="300" customFormat="1" ht="15" hidden="1" outlineLevel="1">
      <c r="A804" s="304" t="s">
        <v>42</v>
      </c>
      <c r="B804" s="166"/>
      <c r="C804" s="988">
        <v>2126</v>
      </c>
      <c r="D804" s="988">
        <v>1807</v>
      </c>
      <c r="E804" s="988">
        <v>1645</v>
      </c>
      <c r="F804" s="988">
        <v>1316</v>
      </c>
      <c r="G804" s="988">
        <v>1278</v>
      </c>
      <c r="H804" s="897">
        <v>307</v>
      </c>
      <c r="I804" s="897">
        <v>519</v>
      </c>
      <c r="J804" s="897">
        <v>717</v>
      </c>
      <c r="K804" s="305">
        <f>L804</f>
        <v>919</v>
      </c>
      <c r="L804" s="988">
        <v>919</v>
      </c>
      <c r="M804" s="897">
        <v>199</v>
      </c>
      <c r="N804" s="897">
        <v>384</v>
      </c>
      <c r="O804" s="897">
        <v>578</v>
      </c>
      <c r="P804" s="305">
        <f>Q804</f>
        <v>761</v>
      </c>
      <c r="Q804" s="988">
        <v>761</v>
      </c>
      <c r="R804" s="897">
        <v>190</v>
      </c>
      <c r="S804" s="897">
        <v>375</v>
      </c>
      <c r="T804" s="897">
        <v>558</v>
      </c>
      <c r="U804" s="305">
        <f>V804</f>
        <v>726</v>
      </c>
      <c r="V804" s="988">
        <v>726</v>
      </c>
      <c r="W804" s="897">
        <v>173</v>
      </c>
      <c r="X804" s="897">
        <v>348</v>
      </c>
      <c r="Y804" s="897">
        <v>522</v>
      </c>
      <c r="Z804" s="305">
        <f>AA804</f>
        <v>690</v>
      </c>
      <c r="AA804" s="988">
        <v>690</v>
      </c>
      <c r="AB804" s="897">
        <v>161</v>
      </c>
      <c r="AC804" s="897">
        <v>326</v>
      </c>
      <c r="AD804" s="897">
        <v>489</v>
      </c>
      <c r="AE804" s="305">
        <f>AF804</f>
        <v>654</v>
      </c>
      <c r="AF804" s="988">
        <v>654</v>
      </c>
      <c r="AG804" s="897">
        <v>162</v>
      </c>
      <c r="AH804" s="897">
        <v>318</v>
      </c>
      <c r="AI804" s="897">
        <v>487</v>
      </c>
      <c r="AJ804" s="305">
        <f t="shared" si="2309"/>
        <v>640</v>
      </c>
      <c r="AK804" s="988">
        <v>640</v>
      </c>
      <c r="AL804" s="897">
        <v>132</v>
      </c>
      <c r="AM804" s="897">
        <v>332</v>
      </c>
      <c r="AN804" s="897">
        <v>482</v>
      </c>
      <c r="AO804" s="92">
        <f t="shared" si="2310"/>
        <v>638</v>
      </c>
      <c r="AP804" s="988">
        <v>638</v>
      </c>
      <c r="AQ804" s="897">
        <v>94</v>
      </c>
      <c r="AR804" s="897">
        <v>261</v>
      </c>
      <c r="AS804" s="897">
        <v>396</v>
      </c>
      <c r="AT804" s="92">
        <f t="shared" si="2311"/>
        <v>448</v>
      </c>
      <c r="AU804" s="988">
        <v>448</v>
      </c>
      <c r="AV804" s="92"/>
      <c r="AW804" s="92"/>
      <c r="AX804" s="92"/>
      <c r="AY804" s="92">
        <f t="shared" si="2312"/>
        <v>0</v>
      </c>
      <c r="AZ804" s="989"/>
      <c r="BA804" s="92"/>
      <c r="BB804" s="92"/>
      <c r="BC804" s="92"/>
      <c r="BD804" s="92">
        <f t="shared" si="2313"/>
        <v>0</v>
      </c>
      <c r="BE804" s="989"/>
      <c r="BF804" s="92"/>
      <c r="BG804" s="92"/>
      <c r="BH804" s="464"/>
      <c r="BI804" s="92">
        <f t="shared" si="2314"/>
        <v>0</v>
      </c>
      <c r="BJ804" s="989"/>
      <c r="BK804" s="92"/>
      <c r="BL804" s="92"/>
      <c r="BM804" s="92"/>
      <c r="BN804" s="92">
        <f t="shared" si="2315"/>
        <v>0</v>
      </c>
      <c r="BO804" s="989"/>
      <c r="BP804" s="989"/>
      <c r="BQ804" s="989"/>
      <c r="BR804" s="989"/>
      <c r="BS804" s="305"/>
    </row>
    <row r="805" spans="1:71" s="300" customFormat="1" ht="15" hidden="1" outlineLevel="1">
      <c r="A805" s="304" t="s">
        <v>660</v>
      </c>
      <c r="B805" s="166"/>
      <c r="C805" s="989"/>
      <c r="D805" s="989"/>
      <c r="E805" s="989"/>
      <c r="F805" s="989"/>
      <c r="G805" s="989"/>
      <c r="H805" s="92"/>
      <c r="I805" s="92"/>
      <c r="J805" s="92"/>
      <c r="K805" s="92"/>
      <c r="L805" s="989"/>
      <c r="M805" s="92"/>
      <c r="N805" s="92"/>
      <c r="O805" s="92"/>
      <c r="P805" s="92"/>
      <c r="Q805" s="989"/>
      <c r="R805" s="92"/>
      <c r="S805" s="92"/>
      <c r="T805" s="92"/>
      <c r="U805" s="92"/>
      <c r="V805" s="989"/>
      <c r="W805" s="92"/>
      <c r="X805" s="92"/>
      <c r="Y805" s="92"/>
      <c r="Z805" s="92"/>
      <c r="AA805" s="989"/>
      <c r="AB805" s="92"/>
      <c r="AC805" s="92"/>
      <c r="AD805" s="92"/>
      <c r="AE805" s="92"/>
      <c r="AF805" s="989"/>
      <c r="AG805" s="92"/>
      <c r="AH805" s="92"/>
      <c r="AI805" s="92"/>
      <c r="AJ805" s="92"/>
      <c r="AK805" s="989"/>
      <c r="AL805" s="92"/>
      <c r="AM805" s="92"/>
      <c r="AN805" s="92"/>
      <c r="AO805" s="92"/>
      <c r="AP805" s="989"/>
      <c r="AQ805" s="897">
        <v>3998</v>
      </c>
      <c r="AR805" s="897">
        <v>3971</v>
      </c>
      <c r="AS805" s="897">
        <v>3754</v>
      </c>
      <c r="AT805" s="92">
        <f t="shared" si="2311"/>
        <v>4031</v>
      </c>
      <c r="AU805" s="988">
        <v>4031</v>
      </c>
      <c r="AV805" s="92"/>
      <c r="AW805" s="897">
        <v>0</v>
      </c>
      <c r="AX805" s="92"/>
      <c r="AY805" s="92">
        <f t="shared" si="2316" ref="AY805">AZ805</f>
        <v>0</v>
      </c>
      <c r="AZ805" s="989"/>
      <c r="BA805" s="92"/>
      <c r="BB805" s="92"/>
      <c r="BC805" s="92"/>
      <c r="BD805" s="92">
        <f t="shared" si="2317" ref="BD805">BE805</f>
        <v>0</v>
      </c>
      <c r="BE805" s="989"/>
      <c r="BF805" s="92"/>
      <c r="BG805" s="92"/>
      <c r="BH805" s="464"/>
      <c r="BI805" s="92">
        <f t="shared" si="2314"/>
        <v>0</v>
      </c>
      <c r="BJ805" s="989"/>
      <c r="BK805" s="92"/>
      <c r="BL805" s="92"/>
      <c r="BM805" s="92"/>
      <c r="BN805" s="92">
        <f t="shared" si="2315"/>
        <v>0</v>
      </c>
      <c r="BO805" s="989"/>
      <c r="BP805" s="989"/>
      <c r="BQ805" s="989"/>
      <c r="BR805" s="989"/>
      <c r="BS805" s="305"/>
    </row>
    <row r="806" spans="1:71" s="300" customFormat="1" ht="15" hidden="1" outlineLevel="1">
      <c r="A806" s="304" t="s">
        <v>303</v>
      </c>
      <c r="B806" s="166"/>
      <c r="C806" s="989"/>
      <c r="D806" s="989"/>
      <c r="E806" s="989"/>
      <c r="F806" s="989"/>
      <c r="G806" s="989"/>
      <c r="H806" s="92"/>
      <c r="I806" s="92"/>
      <c r="J806" s="92"/>
      <c r="K806" s="305">
        <f>L806</f>
        <v>0</v>
      </c>
      <c r="L806" s="989"/>
      <c r="M806" s="92"/>
      <c r="N806" s="92"/>
      <c r="O806" s="92"/>
      <c r="P806" s="305">
        <f>Q806</f>
        <v>0</v>
      </c>
      <c r="Q806" s="989"/>
      <c r="R806" s="92"/>
      <c r="S806" s="92"/>
      <c r="T806" s="92"/>
      <c r="U806" s="305">
        <f>V806</f>
        <v>0</v>
      </c>
      <c r="V806" s="989"/>
      <c r="W806" s="92"/>
      <c r="X806" s="92"/>
      <c r="Y806" s="92"/>
      <c r="Z806" s="305">
        <f>AA806</f>
        <v>125</v>
      </c>
      <c r="AA806" s="988">
        <v>125</v>
      </c>
      <c r="AB806" s="92"/>
      <c r="AC806" s="92"/>
      <c r="AD806" s="92"/>
      <c r="AE806" s="305">
        <f>AF806</f>
        <v>0</v>
      </c>
      <c r="AF806" s="989"/>
      <c r="AG806" s="92"/>
      <c r="AH806" s="897">
        <v>55</v>
      </c>
      <c r="AI806" s="897">
        <v>55</v>
      </c>
      <c r="AJ806" s="305">
        <f t="shared" si="2309"/>
        <v>106</v>
      </c>
      <c r="AK806" s="988">
        <v>106</v>
      </c>
      <c r="AL806" s="92"/>
      <c r="AM806" s="92"/>
      <c r="AN806" s="92"/>
      <c r="AO806" s="92">
        <f t="shared" si="2310"/>
        <v>0</v>
      </c>
      <c r="AP806" s="989"/>
      <c r="AQ806" s="92"/>
      <c r="AR806" s="92"/>
      <c r="AS806" s="92"/>
      <c r="AT806" s="92">
        <f t="shared" si="2311"/>
        <v>0</v>
      </c>
      <c r="AU806" s="989"/>
      <c r="AV806" s="92"/>
      <c r="AW806" s="92"/>
      <c r="AX806" s="92"/>
      <c r="AY806" s="92">
        <f t="shared" si="2312"/>
        <v>0</v>
      </c>
      <c r="AZ806" s="989"/>
      <c r="BA806" s="92"/>
      <c r="BB806" s="92"/>
      <c r="BC806" s="92"/>
      <c r="BD806" s="92">
        <f>BE806</f>
        <v>0</v>
      </c>
      <c r="BE806" s="989"/>
      <c r="BF806" s="92"/>
      <c r="BG806" s="92"/>
      <c r="BH806" s="464"/>
      <c r="BI806" s="92">
        <f t="shared" si="2314"/>
        <v>0</v>
      </c>
      <c r="BJ806" s="989"/>
      <c r="BK806" s="92"/>
      <c r="BL806" s="92"/>
      <c r="BM806" s="92"/>
      <c r="BN806" s="92">
        <f t="shared" si="2315"/>
        <v>0</v>
      </c>
      <c r="BO806" s="989"/>
      <c r="BP806" s="989"/>
      <c r="BQ806" s="989"/>
      <c r="BR806" s="989"/>
      <c r="BS806" s="305"/>
    </row>
    <row r="807" spans="1:71" s="51" customFormat="1" ht="15" hidden="1" outlineLevel="1">
      <c r="A807" s="87" t="s">
        <v>120</v>
      </c>
      <c r="B807" s="506"/>
      <c r="C807" s="996">
        <f t="shared" si="2318" ref="C807:AH807">SUM(C797:C806)</f>
        <v>3465</v>
      </c>
      <c r="D807" s="996">
        <f t="shared" si="2318"/>
        <v>3645</v>
      </c>
      <c r="E807" s="996">
        <f t="shared" si="2318"/>
        <v>2188</v>
      </c>
      <c r="F807" s="996">
        <f t="shared" si="2318"/>
        <v>3665</v>
      </c>
      <c r="G807" s="996">
        <f t="shared" si="2318"/>
        <v>4511</v>
      </c>
      <c r="H807" s="89">
        <f t="shared" si="2318"/>
        <v>1010</v>
      </c>
      <c r="I807" s="89">
        <f t="shared" si="2318"/>
        <v>1710</v>
      </c>
      <c r="J807" s="89">
        <f t="shared" si="2318"/>
        <v>2510</v>
      </c>
      <c r="K807" s="89">
        <f t="shared" si="2318"/>
        <v>3516</v>
      </c>
      <c r="L807" s="996">
        <f t="shared" si="2318"/>
        <v>3516</v>
      </c>
      <c r="M807" s="89">
        <f t="shared" si="2318"/>
        <v>825</v>
      </c>
      <c r="N807" s="89">
        <f t="shared" si="2318"/>
        <v>1348</v>
      </c>
      <c r="O807" s="89">
        <f t="shared" si="2318"/>
        <v>2253</v>
      </c>
      <c r="P807" s="89">
        <f t="shared" si="2318"/>
        <v>3270</v>
      </c>
      <c r="Q807" s="996">
        <f t="shared" si="2318"/>
        <v>3270</v>
      </c>
      <c r="R807" s="89">
        <f t="shared" si="2318"/>
        <v>674</v>
      </c>
      <c r="S807" s="89">
        <f t="shared" si="2318"/>
        <v>1202</v>
      </c>
      <c r="T807" s="89">
        <f t="shared" si="2318"/>
        <v>1968</v>
      </c>
      <c r="U807" s="89">
        <f t="shared" si="2318"/>
        <v>3070</v>
      </c>
      <c r="V807" s="996">
        <f t="shared" si="2318"/>
        <v>3070</v>
      </c>
      <c r="W807" s="89">
        <f t="shared" si="2318"/>
        <v>851</v>
      </c>
      <c r="X807" s="89">
        <f t="shared" si="2318"/>
        <v>1631</v>
      </c>
      <c r="Y807" s="89">
        <f t="shared" si="2318"/>
        <v>2487</v>
      </c>
      <c r="Z807" s="89">
        <f t="shared" si="2318"/>
        <v>4022</v>
      </c>
      <c r="AA807" s="996">
        <f t="shared" si="2318"/>
        <v>4022</v>
      </c>
      <c r="AB807" s="89">
        <f t="shared" si="2318"/>
        <v>1391</v>
      </c>
      <c r="AC807" s="89">
        <f t="shared" si="2318"/>
        <v>2381</v>
      </c>
      <c r="AD807" s="89">
        <f t="shared" si="2318"/>
        <v>3365</v>
      </c>
      <c r="AE807" s="89">
        <f t="shared" si="2318"/>
        <v>4288</v>
      </c>
      <c r="AF807" s="996">
        <f t="shared" si="2318"/>
        <v>4288</v>
      </c>
      <c r="AG807" s="89">
        <f t="shared" si="2318"/>
        <v>963</v>
      </c>
      <c r="AH807" s="89">
        <f t="shared" si="2318"/>
        <v>1984</v>
      </c>
      <c r="AI807" s="89">
        <f t="shared" si="2319" ref="AI807:BE807">SUM(AI797:AI806)</f>
        <v>3271</v>
      </c>
      <c r="AJ807" s="89">
        <f t="shared" si="2319"/>
        <v>4463</v>
      </c>
      <c r="AK807" s="996">
        <f t="shared" si="2319"/>
        <v>4463</v>
      </c>
      <c r="AL807" s="89">
        <f t="shared" si="2319"/>
        <v>1615</v>
      </c>
      <c r="AM807" s="89">
        <f t="shared" si="2319"/>
        <v>2596</v>
      </c>
      <c r="AN807" s="89">
        <f t="shared" si="2319"/>
        <v>3569</v>
      </c>
      <c r="AO807" s="90">
        <f t="shared" si="2319"/>
        <v>5489</v>
      </c>
      <c r="AP807" s="997">
        <f t="shared" si="2319"/>
        <v>5489</v>
      </c>
      <c r="AQ807" s="89">
        <f t="shared" si="2319"/>
        <v>2148</v>
      </c>
      <c r="AR807" s="89">
        <f t="shared" si="2319"/>
        <v>3697</v>
      </c>
      <c r="AS807" s="89">
        <f t="shared" si="2319"/>
        <v>4323</v>
      </c>
      <c r="AT807" s="90">
        <f t="shared" si="2319"/>
        <v>5204</v>
      </c>
      <c r="AU807" s="997">
        <f t="shared" si="2319"/>
        <v>5204</v>
      </c>
      <c r="AV807" s="89">
        <f t="shared" si="2319"/>
        <v>906</v>
      </c>
      <c r="AW807" s="89">
        <f t="shared" si="2319"/>
        <v>1092</v>
      </c>
      <c r="AX807" s="89">
        <f t="shared" si="2319"/>
        <v>858</v>
      </c>
      <c r="AY807" s="90">
        <f t="shared" si="2319"/>
        <v>693</v>
      </c>
      <c r="AZ807" s="997">
        <f t="shared" si="2319"/>
        <v>693</v>
      </c>
      <c r="BA807" s="89">
        <f>SUM(BA797:BA806)</f>
        <v>-211</v>
      </c>
      <c r="BB807" s="89">
        <f>SUM(BB797:BB806)</f>
        <v>-1289</v>
      </c>
      <c r="BC807" s="89">
        <f>SUM(BC797:BC806)</f>
        <v>-882</v>
      </c>
      <c r="BD807" s="90">
        <f>SUM(BD797:BD806)</f>
        <v>800</v>
      </c>
      <c r="BE807" s="997">
        <f t="shared" si="2319"/>
        <v>800</v>
      </c>
      <c r="BF807" s="90">
        <f t="shared" si="2320" ref="BF807:BR807">SUM(BF797:BF806)</f>
        <v>1492</v>
      </c>
      <c r="BG807" s="90">
        <f t="shared" si="2320"/>
        <v>2065</v>
      </c>
      <c r="BH807" s="742">
        <f>SUM(BH797:BH806)</f>
        <v>3152</v>
      </c>
      <c r="BI807" s="90">
        <f t="shared" si="2320"/>
        <v>0</v>
      </c>
      <c r="BJ807" s="997">
        <f t="shared" si="2320"/>
        <v>0</v>
      </c>
      <c r="BK807" s="90">
        <f t="shared" si="2320"/>
        <v>0</v>
      </c>
      <c r="BL807" s="90">
        <f t="shared" si="2320"/>
        <v>0</v>
      </c>
      <c r="BM807" s="90">
        <f t="shared" si="2320"/>
        <v>0</v>
      </c>
      <c r="BN807" s="90">
        <f t="shared" si="2320"/>
        <v>0</v>
      </c>
      <c r="BO807" s="997">
        <f t="shared" si="2320"/>
        <v>0</v>
      </c>
      <c r="BP807" s="997">
        <f t="shared" si="2320"/>
        <v>0</v>
      </c>
      <c r="BQ807" s="997">
        <f t="shared" si="2320"/>
        <v>0</v>
      </c>
      <c r="BR807" s="997">
        <f t="shared" si="2320"/>
        <v>0</v>
      </c>
      <c r="BS807" s="57"/>
    </row>
    <row r="808" spans="1:71" s="300" customFormat="1" ht="15" hidden="1" outlineLevel="1">
      <c r="A808" s="304" t="s">
        <v>121</v>
      </c>
      <c r="B808" s="166"/>
      <c r="C808" s="988">
        <v>-577</v>
      </c>
      <c r="D808" s="988">
        <v>238</v>
      </c>
      <c r="E808" s="988">
        <v>-77</v>
      </c>
      <c r="F808" s="988">
        <v>214</v>
      </c>
      <c r="G808" s="988">
        <v>-55</v>
      </c>
      <c r="H808" s="897">
        <v>-18</v>
      </c>
      <c r="I808" s="897">
        <v>103</v>
      </c>
      <c r="J808" s="897">
        <v>50</v>
      </c>
      <c r="K808" s="305">
        <f t="shared" si="2321" ref="K808:K814">L808</f>
        <v>541</v>
      </c>
      <c r="L808" s="988">
        <v>541</v>
      </c>
      <c r="M808" s="897">
        <v>115</v>
      </c>
      <c r="N808" s="897">
        <v>526</v>
      </c>
      <c r="O808" s="897">
        <v>500</v>
      </c>
      <c r="P808" s="305">
        <f t="shared" si="2322" ref="P808:P814">Q808</f>
        <v>473</v>
      </c>
      <c r="Q808" s="988">
        <v>473</v>
      </c>
      <c r="R808" s="897">
        <v>459</v>
      </c>
      <c r="S808" s="897">
        <v>577</v>
      </c>
      <c r="T808" s="897">
        <v>978</v>
      </c>
      <c r="U808" s="305">
        <f t="shared" si="2323" ref="U808:U814">V808</f>
        <v>631</v>
      </c>
      <c r="V808" s="988">
        <v>631</v>
      </c>
      <c r="W808" s="897">
        <v>183</v>
      </c>
      <c r="X808" s="897">
        <v>228</v>
      </c>
      <c r="Y808" s="897">
        <v>1276</v>
      </c>
      <c r="Z808" s="305">
        <f t="shared" si="2324" ref="Z808:Z814">AA808</f>
        <v>302</v>
      </c>
      <c r="AA808" s="988">
        <v>302</v>
      </c>
      <c r="AB808" s="897">
        <v>-364</v>
      </c>
      <c r="AC808" s="897">
        <v>-22</v>
      </c>
      <c r="AD808" s="897">
        <v>90</v>
      </c>
      <c r="AE808" s="305">
        <f t="shared" si="2325" ref="AE808:AE814">AF808</f>
        <v>469</v>
      </c>
      <c r="AF808" s="988">
        <v>469</v>
      </c>
      <c r="AG808" s="897">
        <v>-114</v>
      </c>
      <c r="AH808" s="897">
        <v>211</v>
      </c>
      <c r="AI808" s="897">
        <v>29</v>
      </c>
      <c r="AJ808" s="305">
        <f t="shared" si="2326" ref="AJ808:AJ814">AK808</f>
        <v>-508</v>
      </c>
      <c r="AK808" s="988">
        <v>-508</v>
      </c>
      <c r="AL808" s="897">
        <v>-654</v>
      </c>
      <c r="AM808" s="897">
        <v>-594</v>
      </c>
      <c r="AN808" s="897">
        <v>-73</v>
      </c>
      <c r="AO808" s="92">
        <f t="shared" si="2327" ref="AO808:AO816">AP808</f>
        <v>-682</v>
      </c>
      <c r="AP808" s="988">
        <v>-682</v>
      </c>
      <c r="AQ808" s="897">
        <v>817</v>
      </c>
      <c r="AR808" s="897">
        <v>854</v>
      </c>
      <c r="AS808" s="897">
        <v>2375</v>
      </c>
      <c r="AT808" s="92">
        <f t="shared" si="2328" ref="AT808:AT816">AU808</f>
        <v>1984</v>
      </c>
      <c r="AU808" s="988">
        <v>1984</v>
      </c>
      <c r="AV808" s="897">
        <v>-111</v>
      </c>
      <c r="AW808" s="897">
        <v>1222</v>
      </c>
      <c r="AX808" s="897">
        <v>3464</v>
      </c>
      <c r="AY808" s="92">
        <f t="shared" si="2329" ref="AY808:AY816">AZ808</f>
        <v>4445</v>
      </c>
      <c r="AZ808" s="988">
        <v>4445</v>
      </c>
      <c r="BA808" s="897">
        <v>1080</v>
      </c>
      <c r="BB808" s="897">
        <v>2917</v>
      </c>
      <c r="BC808" s="897">
        <v>3068</v>
      </c>
      <c r="BD808" s="92">
        <f t="shared" si="2330" ref="BD808:BD816">BE808</f>
        <v>2202</v>
      </c>
      <c r="BE808" s="988">
        <v>2202</v>
      </c>
      <c r="BF808" s="897">
        <v>323</v>
      </c>
      <c r="BG808" s="897">
        <v>1750</v>
      </c>
      <c r="BH808" s="898">
        <v>2921</v>
      </c>
      <c r="BI808" s="92">
        <f t="shared" si="2331" ref="BI808:BI816">BJ808</f>
        <v>0</v>
      </c>
      <c r="BJ808" s="989"/>
      <c r="BK808" s="92"/>
      <c r="BL808" s="92"/>
      <c r="BM808" s="92"/>
      <c r="BN808" s="92">
        <f t="shared" si="2332" ref="BN808:BN816">BO808</f>
        <v>0</v>
      </c>
      <c r="BO808" s="989"/>
      <c r="BP808" s="989"/>
      <c r="BQ808" s="989"/>
      <c r="BR808" s="989"/>
      <c r="BS808" s="305"/>
    </row>
    <row r="809" spans="1:71" s="300" customFormat="1" ht="15" hidden="1" outlineLevel="1">
      <c r="A809" s="304" t="s">
        <v>122</v>
      </c>
      <c r="B809" s="166"/>
      <c r="C809" s="988">
        <v>-247</v>
      </c>
      <c r="D809" s="988">
        <v>-40</v>
      </c>
      <c r="E809" s="988">
        <v>37</v>
      </c>
      <c r="F809" s="988">
        <v>306</v>
      </c>
      <c r="G809" s="988">
        <v>602</v>
      </c>
      <c r="H809" s="897">
        <v>-92</v>
      </c>
      <c r="I809" s="897">
        <v>287</v>
      </c>
      <c r="J809" s="897">
        <v>822</v>
      </c>
      <c r="K809" s="305">
        <f t="shared" si="2321"/>
        <v>766</v>
      </c>
      <c r="L809" s="988">
        <v>766</v>
      </c>
      <c r="M809" s="897">
        <v>-117</v>
      </c>
      <c r="N809" s="897">
        <v>244</v>
      </c>
      <c r="O809" s="897">
        <v>762</v>
      </c>
      <c r="P809" s="305">
        <f t="shared" si="2322"/>
        <v>638</v>
      </c>
      <c r="Q809" s="988">
        <v>638</v>
      </c>
      <c r="R809" s="897">
        <v>-205</v>
      </c>
      <c r="S809" s="897">
        <v>62</v>
      </c>
      <c r="T809" s="897">
        <v>540</v>
      </c>
      <c r="U809" s="305">
        <f t="shared" si="2323"/>
        <v>362</v>
      </c>
      <c r="V809" s="988">
        <v>362</v>
      </c>
      <c r="W809" s="897">
        <v>-248</v>
      </c>
      <c r="X809" s="897">
        <v>34</v>
      </c>
      <c r="Y809" s="897">
        <v>525</v>
      </c>
      <c r="Z809" s="305">
        <f t="shared" si="2324"/>
        <v>463</v>
      </c>
      <c r="AA809" s="988">
        <v>463</v>
      </c>
      <c r="AB809" s="897">
        <v>-204</v>
      </c>
      <c r="AC809" s="897">
        <v>211</v>
      </c>
      <c r="AD809" s="897">
        <v>785</v>
      </c>
      <c r="AE809" s="305">
        <f t="shared" si="2325"/>
        <v>915</v>
      </c>
      <c r="AF809" s="988">
        <v>915</v>
      </c>
      <c r="AG809" s="897">
        <v>-201</v>
      </c>
      <c r="AH809" s="897">
        <v>214</v>
      </c>
      <c r="AI809" s="897">
        <v>813</v>
      </c>
      <c r="AJ809" s="305">
        <f t="shared" si="2326"/>
        <v>801</v>
      </c>
      <c r="AK809" s="988">
        <v>801</v>
      </c>
      <c r="AL809" s="897">
        <v>-272</v>
      </c>
      <c r="AM809" s="897">
        <v>143</v>
      </c>
      <c r="AN809" s="897">
        <v>710</v>
      </c>
      <c r="AO809" s="92">
        <f t="shared" si="2327"/>
        <v>598</v>
      </c>
      <c r="AP809" s="988">
        <v>598</v>
      </c>
      <c r="AQ809" s="897">
        <v>33</v>
      </c>
      <c r="AR809" s="897">
        <v>599</v>
      </c>
      <c r="AS809" s="897">
        <v>1490</v>
      </c>
      <c r="AT809" s="92">
        <f t="shared" si="2328"/>
        <v>1618</v>
      </c>
      <c r="AU809" s="988">
        <v>1618</v>
      </c>
      <c r="AV809" s="897">
        <v>390</v>
      </c>
      <c r="AW809" s="897">
        <v>1201</v>
      </c>
      <c r="AX809" s="897">
        <v>2255</v>
      </c>
      <c r="AY809" s="92">
        <f t="shared" si="2329"/>
        <v>2539</v>
      </c>
      <c r="AZ809" s="988">
        <v>2539</v>
      </c>
      <c r="BA809" s="897">
        <v>199</v>
      </c>
      <c r="BB809" s="897">
        <v>1032</v>
      </c>
      <c r="BC809" s="897">
        <v>2216</v>
      </c>
      <c r="BD809" s="92">
        <f t="shared" si="2330"/>
        <v>2385</v>
      </c>
      <c r="BE809" s="988">
        <v>2385</v>
      </c>
      <c r="BF809" s="897">
        <v>267</v>
      </c>
      <c r="BG809" s="897">
        <v>1262</v>
      </c>
      <c r="BH809" s="898">
        <v>2378</v>
      </c>
      <c r="BI809" s="92">
        <f t="shared" si="2331"/>
        <v>0</v>
      </c>
      <c r="BJ809" s="989"/>
      <c r="BK809" s="92"/>
      <c r="BL809" s="92"/>
      <c r="BM809" s="92"/>
      <c r="BN809" s="92">
        <f t="shared" si="2332"/>
        <v>0</v>
      </c>
      <c r="BO809" s="989"/>
      <c r="BP809" s="989"/>
      <c r="BQ809" s="989"/>
      <c r="BR809" s="989"/>
      <c r="BS809" s="305"/>
    </row>
    <row r="810" spans="1:71" s="300" customFormat="1" ht="15" hidden="1" outlineLevel="1">
      <c r="A810" s="304" t="s">
        <v>123</v>
      </c>
      <c r="B810" s="166"/>
      <c r="C810" s="988">
        <v>514</v>
      </c>
      <c r="D810" s="988">
        <v>-94</v>
      </c>
      <c r="E810" s="988">
        <v>177</v>
      </c>
      <c r="F810" s="988">
        <v>-18</v>
      </c>
      <c r="G810" s="988">
        <v>-268</v>
      </c>
      <c r="H810" s="897">
        <v>3</v>
      </c>
      <c r="I810" s="897">
        <v>-77</v>
      </c>
      <c r="J810" s="897">
        <v>-189</v>
      </c>
      <c r="K810" s="305">
        <f t="shared" si="2321"/>
        <v>-220</v>
      </c>
      <c r="L810" s="988">
        <v>-220</v>
      </c>
      <c r="M810" s="897">
        <v>-35</v>
      </c>
      <c r="N810" s="897">
        <v>-132</v>
      </c>
      <c r="O810" s="897">
        <v>-219</v>
      </c>
      <c r="P810" s="305">
        <f t="shared" si="2322"/>
        <v>-239</v>
      </c>
      <c r="Q810" s="988">
        <v>-239</v>
      </c>
      <c r="R810" s="897">
        <v>-7</v>
      </c>
      <c r="S810" s="897">
        <v>-72</v>
      </c>
      <c r="T810" s="897">
        <v>-159</v>
      </c>
      <c r="U810" s="305">
        <f t="shared" si="2323"/>
        <v>-165</v>
      </c>
      <c r="V810" s="988">
        <v>-165</v>
      </c>
      <c r="W810" s="897">
        <v>14</v>
      </c>
      <c r="X810" s="897">
        <v>-65</v>
      </c>
      <c r="Y810" s="897">
        <v>-176</v>
      </c>
      <c r="Z810" s="305">
        <f t="shared" si="2324"/>
        <v>-214</v>
      </c>
      <c r="AA810" s="988">
        <v>-214</v>
      </c>
      <c r="AB810" s="897">
        <v>10</v>
      </c>
      <c r="AC810" s="897">
        <v>-80</v>
      </c>
      <c r="AD810" s="897">
        <v>-203</v>
      </c>
      <c r="AE810" s="305">
        <f t="shared" si="2325"/>
        <v>-296</v>
      </c>
      <c r="AF810" s="988">
        <v>-296</v>
      </c>
      <c r="AG810" s="897">
        <v>33</v>
      </c>
      <c r="AH810" s="897">
        <v>-27</v>
      </c>
      <c r="AI810" s="897">
        <v>-66</v>
      </c>
      <c r="AJ810" s="305">
        <f t="shared" si="2326"/>
        <v>-85</v>
      </c>
      <c r="AK810" s="988">
        <v>-85</v>
      </c>
      <c r="AL810" s="897">
        <v>38</v>
      </c>
      <c r="AM810" s="897">
        <v>-42</v>
      </c>
      <c r="AN810" s="897">
        <v>-55</v>
      </c>
      <c r="AO810" s="92">
        <f t="shared" si="2327"/>
        <v>-125</v>
      </c>
      <c r="AP810" s="988">
        <v>-125</v>
      </c>
      <c r="AQ810" s="897">
        <v>-26</v>
      </c>
      <c r="AR810" s="897">
        <v>-273</v>
      </c>
      <c r="AS810" s="897">
        <v>-492</v>
      </c>
      <c r="AT810" s="92">
        <f t="shared" si="2328"/>
        <v>-608</v>
      </c>
      <c r="AU810" s="988">
        <v>-608</v>
      </c>
      <c r="AV810" s="897">
        <v>-103</v>
      </c>
      <c r="AW810" s="897">
        <v>-315</v>
      </c>
      <c r="AX810" s="897">
        <v>-567</v>
      </c>
      <c r="AY810" s="92">
        <f t="shared" si="2329"/>
        <v>-713</v>
      </c>
      <c r="AZ810" s="988">
        <v>-713</v>
      </c>
      <c r="BA810" s="897">
        <v>-29</v>
      </c>
      <c r="BB810" s="897">
        <v>-162</v>
      </c>
      <c r="BC810" s="897">
        <v>-385</v>
      </c>
      <c r="BD810" s="92">
        <f t="shared" si="2330"/>
        <v>-489</v>
      </c>
      <c r="BE810" s="988">
        <v>-489</v>
      </c>
      <c r="BF810" s="897">
        <v>-12</v>
      </c>
      <c r="BG810" s="897">
        <v>-175</v>
      </c>
      <c r="BH810" s="898">
        <v>-315</v>
      </c>
      <c r="BI810" s="92">
        <f t="shared" si="2331"/>
        <v>0</v>
      </c>
      <c r="BJ810" s="989"/>
      <c r="BK810" s="92"/>
      <c r="BL810" s="92"/>
      <c r="BM810" s="92"/>
      <c r="BN810" s="92">
        <f t="shared" si="2332"/>
        <v>0</v>
      </c>
      <c r="BO810" s="989"/>
      <c r="BP810" s="989"/>
      <c r="BQ810" s="989"/>
      <c r="BR810" s="989"/>
      <c r="BS810" s="305"/>
    </row>
    <row r="811" spans="1:71" s="300" customFormat="1" ht="15" hidden="1" outlineLevel="1">
      <c r="A811" s="304" t="s">
        <v>124</v>
      </c>
      <c r="B811" s="166"/>
      <c r="C811" s="988">
        <v>26</v>
      </c>
      <c r="D811" s="988">
        <v>10</v>
      </c>
      <c r="E811" s="988">
        <v>33</v>
      </c>
      <c r="F811" s="988">
        <v>-125</v>
      </c>
      <c r="G811" s="988">
        <v>-205</v>
      </c>
      <c r="H811" s="897">
        <v>-46</v>
      </c>
      <c r="I811" s="897">
        <v>-152</v>
      </c>
      <c r="J811" s="897">
        <v>-386</v>
      </c>
      <c r="K811" s="305">
        <f t="shared" si="2321"/>
        <v>-257</v>
      </c>
      <c r="L811" s="988">
        <v>-257</v>
      </c>
      <c r="M811" s="897">
        <v>-66</v>
      </c>
      <c r="N811" s="897">
        <v>-158</v>
      </c>
      <c r="O811" s="897">
        <v>-290</v>
      </c>
      <c r="P811" s="305">
        <f t="shared" si="2322"/>
        <v>-134</v>
      </c>
      <c r="Q811" s="988">
        <v>-134</v>
      </c>
      <c r="R811" s="897">
        <v>11</v>
      </c>
      <c r="S811" s="897">
        <v>-27</v>
      </c>
      <c r="T811" s="897">
        <v>-236</v>
      </c>
      <c r="U811" s="305">
        <f t="shared" si="2323"/>
        <v>-42</v>
      </c>
      <c r="V811" s="988">
        <v>-42</v>
      </c>
      <c r="W811" s="897">
        <v>-19</v>
      </c>
      <c r="X811" s="897">
        <v>-51</v>
      </c>
      <c r="Y811" s="897">
        <v>-267</v>
      </c>
      <c r="Z811" s="305">
        <f t="shared" si="2324"/>
        <v>-131</v>
      </c>
      <c r="AA811" s="988">
        <v>-131</v>
      </c>
      <c r="AB811" s="897">
        <v>-58</v>
      </c>
      <c r="AC811" s="897">
        <v>-185</v>
      </c>
      <c r="AD811" s="897">
        <v>-422</v>
      </c>
      <c r="AE811" s="305">
        <f t="shared" si="2325"/>
        <v>-396</v>
      </c>
      <c r="AF811" s="988">
        <v>-396</v>
      </c>
      <c r="AG811" s="897">
        <v>-39</v>
      </c>
      <c r="AH811" s="897">
        <v>-209</v>
      </c>
      <c r="AI811" s="897">
        <v>-392</v>
      </c>
      <c r="AJ811" s="305">
        <f t="shared" si="2326"/>
        <v>-299</v>
      </c>
      <c r="AK811" s="988">
        <v>-299</v>
      </c>
      <c r="AL811" s="897">
        <v>26</v>
      </c>
      <c r="AM811" s="897">
        <v>81</v>
      </c>
      <c r="AN811" s="897">
        <v>-153</v>
      </c>
      <c r="AO811" s="92">
        <f t="shared" si="2327"/>
        <v>-3</v>
      </c>
      <c r="AP811" s="988">
        <v>-3</v>
      </c>
      <c r="AQ811" s="897">
        <v>-124</v>
      </c>
      <c r="AR811" s="897">
        <v>-335</v>
      </c>
      <c r="AS811" s="897">
        <v>-606</v>
      </c>
      <c r="AT811" s="92">
        <f t="shared" si="2328"/>
        <v>-498</v>
      </c>
      <c r="AU811" s="988">
        <v>-498</v>
      </c>
      <c r="AV811" s="897">
        <v>-502</v>
      </c>
      <c r="AW811" s="897">
        <v>-664</v>
      </c>
      <c r="AX811" s="897">
        <v>-1022</v>
      </c>
      <c r="AY811" s="92">
        <f t="shared" si="2329"/>
        <v>-1038</v>
      </c>
      <c r="AZ811" s="988">
        <v>-1038</v>
      </c>
      <c r="BA811" s="897">
        <v>-317</v>
      </c>
      <c r="BB811" s="897">
        <v>-532</v>
      </c>
      <c r="BC811" s="897">
        <v>-934</v>
      </c>
      <c r="BD811" s="92">
        <f t="shared" si="2330"/>
        <v>-861</v>
      </c>
      <c r="BE811" s="988">
        <v>-861</v>
      </c>
      <c r="BF811" s="897">
        <v>-549</v>
      </c>
      <c r="BG811" s="897">
        <v>-745</v>
      </c>
      <c r="BH811" s="898">
        <v>-1094</v>
      </c>
      <c r="BI811" s="92">
        <f t="shared" si="2331"/>
        <v>0</v>
      </c>
      <c r="BJ811" s="989"/>
      <c r="BK811" s="92"/>
      <c r="BL811" s="92"/>
      <c r="BM811" s="92"/>
      <c r="BN811" s="92">
        <f t="shared" si="2332"/>
        <v>0</v>
      </c>
      <c r="BO811" s="989"/>
      <c r="BP811" s="989"/>
      <c r="BQ811" s="989"/>
      <c r="BR811" s="989"/>
      <c r="BS811" s="305"/>
    </row>
    <row r="812" spans="1:71" s="300" customFormat="1" ht="15" hidden="1" outlineLevel="1">
      <c r="A812" s="304" t="s">
        <v>125</v>
      </c>
      <c r="B812" s="166"/>
      <c r="C812" s="988">
        <v>-85</v>
      </c>
      <c r="D812" s="988">
        <v>-265</v>
      </c>
      <c r="E812" s="988">
        <v>-716</v>
      </c>
      <c r="F812" s="988">
        <v>-1560</v>
      </c>
      <c r="G812" s="988">
        <v>-729</v>
      </c>
      <c r="H812" s="897">
        <v>-45</v>
      </c>
      <c r="I812" s="897">
        <v>-39</v>
      </c>
      <c r="J812" s="897">
        <v>-110</v>
      </c>
      <c r="K812" s="305">
        <f t="shared" si="2321"/>
        <v>-1068</v>
      </c>
      <c r="L812" s="988">
        <v>-1068</v>
      </c>
      <c r="M812" s="897">
        <v>-24</v>
      </c>
      <c r="N812" s="897">
        <v>-144</v>
      </c>
      <c r="O812" s="897">
        <v>-133</v>
      </c>
      <c r="P812" s="305">
        <f t="shared" si="2322"/>
        <v>-178</v>
      </c>
      <c r="Q812" s="988">
        <v>-178</v>
      </c>
      <c r="R812" s="897">
        <v>-40</v>
      </c>
      <c r="S812" s="897">
        <v>-120</v>
      </c>
      <c r="T812" s="897">
        <v>-420</v>
      </c>
      <c r="U812" s="305">
        <f t="shared" si="2323"/>
        <v>-264</v>
      </c>
      <c r="V812" s="988">
        <v>-264</v>
      </c>
      <c r="W812" s="897">
        <v>11</v>
      </c>
      <c r="X812" s="897">
        <v>6</v>
      </c>
      <c r="Y812" s="897">
        <v>-1017</v>
      </c>
      <c r="Z812" s="305">
        <f t="shared" si="2324"/>
        <v>-211</v>
      </c>
      <c r="AA812" s="988">
        <v>-211</v>
      </c>
      <c r="AB812" s="897">
        <v>-12</v>
      </c>
      <c r="AC812" s="897">
        <v>-9</v>
      </c>
      <c r="AD812" s="897">
        <v>-103</v>
      </c>
      <c r="AE812" s="305">
        <f t="shared" si="2325"/>
        <v>-656</v>
      </c>
      <c r="AF812" s="988">
        <v>-656</v>
      </c>
      <c r="AG812" s="897">
        <v>179</v>
      </c>
      <c r="AH812" s="897">
        <v>235</v>
      </c>
      <c r="AI812" s="897">
        <v>167</v>
      </c>
      <c r="AJ812" s="305">
        <f t="shared" si="2326"/>
        <v>320</v>
      </c>
      <c r="AK812" s="988">
        <v>320</v>
      </c>
      <c r="AL812" s="897">
        <v>24</v>
      </c>
      <c r="AM812" s="897">
        <v>-56</v>
      </c>
      <c r="AN812" s="897">
        <v>121</v>
      </c>
      <c r="AO812" s="92">
        <f t="shared" si="2327"/>
        <v>-11</v>
      </c>
      <c r="AP812" s="988">
        <v>-11</v>
      </c>
      <c r="AQ812" s="897">
        <v>-1201</v>
      </c>
      <c r="AR812" s="897">
        <v>-1032</v>
      </c>
      <c r="AS812" s="897">
        <v>-1973</v>
      </c>
      <c r="AT812" s="92">
        <f t="shared" si="2328"/>
        <v>-1565</v>
      </c>
      <c r="AU812" s="988">
        <v>-1565</v>
      </c>
      <c r="AV812" s="897">
        <v>333</v>
      </c>
      <c r="AW812" s="897">
        <v>645</v>
      </c>
      <c r="AX812" s="897">
        <v>99</v>
      </c>
      <c r="AY812" s="92">
        <f t="shared" si="2329"/>
        <v>451</v>
      </c>
      <c r="AZ812" s="988">
        <v>451</v>
      </c>
      <c r="BA812" s="897">
        <v>91</v>
      </c>
      <c r="BB812" s="897">
        <v>468</v>
      </c>
      <c r="BC812" s="897">
        <v>534</v>
      </c>
      <c r="BD812" s="92">
        <f t="shared" si="2330"/>
        <v>807</v>
      </c>
      <c r="BE812" s="988">
        <v>807</v>
      </c>
      <c r="BF812" s="897">
        <v>82</v>
      </c>
      <c r="BG812" s="897">
        <v>76</v>
      </c>
      <c r="BH812" s="898">
        <v>-324</v>
      </c>
      <c r="BI812" s="92">
        <f t="shared" si="2331"/>
        <v>0</v>
      </c>
      <c r="BJ812" s="989"/>
      <c r="BK812" s="92"/>
      <c r="BL812" s="92"/>
      <c r="BM812" s="92"/>
      <c r="BN812" s="92">
        <f t="shared" si="2332"/>
        <v>0</v>
      </c>
      <c r="BO812" s="989"/>
      <c r="BP812" s="989"/>
      <c r="BQ812" s="989"/>
      <c r="BR812" s="989"/>
      <c r="BS812" s="305"/>
    </row>
    <row r="813" spans="1:71" s="300" customFormat="1" ht="15" hidden="1" outlineLevel="1">
      <c r="A813" s="304" t="s">
        <v>126</v>
      </c>
      <c r="B813" s="166"/>
      <c r="C813" s="989"/>
      <c r="D813" s="988">
        <v>200</v>
      </c>
      <c r="E813" s="988">
        <v>133</v>
      </c>
      <c r="F813" s="988">
        <v>698</v>
      </c>
      <c r="G813" s="988">
        <v>573</v>
      </c>
      <c r="H813" s="897">
        <v>-68</v>
      </c>
      <c r="I813" s="897">
        <v>-195</v>
      </c>
      <c r="J813" s="897">
        <v>175</v>
      </c>
      <c r="K813" s="305">
        <f t="shared" si="2321"/>
        <v>205</v>
      </c>
      <c r="L813" s="988">
        <v>205</v>
      </c>
      <c r="M813" s="897">
        <v>59</v>
      </c>
      <c r="N813" s="897">
        <v>-283</v>
      </c>
      <c r="O813" s="897">
        <v>-60</v>
      </c>
      <c r="P813" s="305">
        <f t="shared" si="2322"/>
        <v>-119</v>
      </c>
      <c r="Q813" s="988">
        <v>-119</v>
      </c>
      <c r="R813" s="897">
        <v>-26</v>
      </c>
      <c r="S813" s="897">
        <v>-176</v>
      </c>
      <c r="T813" s="897">
        <v>30</v>
      </c>
      <c r="U813" s="305">
        <f t="shared" si="2323"/>
        <v>417</v>
      </c>
      <c r="V813" s="988">
        <v>417</v>
      </c>
      <c r="W813" s="897">
        <v>284</v>
      </c>
      <c r="X813" s="897">
        <v>-42</v>
      </c>
      <c r="Y813" s="897">
        <v>119</v>
      </c>
      <c r="Z813" s="305">
        <f t="shared" si="2324"/>
        <v>-245</v>
      </c>
      <c r="AA813" s="988">
        <v>-245</v>
      </c>
      <c r="AB813" s="897">
        <v>181</v>
      </c>
      <c r="AC813" s="897">
        <v>-257</v>
      </c>
      <c r="AD813" s="897">
        <v>-227</v>
      </c>
      <c r="AE813" s="305">
        <f t="shared" si="2325"/>
        <v>-356</v>
      </c>
      <c r="AF813" s="988">
        <v>-356</v>
      </c>
      <c r="AG813" s="897">
        <v>303</v>
      </c>
      <c r="AH813" s="897">
        <v>159</v>
      </c>
      <c r="AI813" s="897">
        <v>254</v>
      </c>
      <c r="AJ813" s="305">
        <f t="shared" si="2326"/>
        <v>487</v>
      </c>
      <c r="AK813" s="988">
        <v>487</v>
      </c>
      <c r="AL813" s="897">
        <v>28</v>
      </c>
      <c r="AM813" s="897">
        <v>257</v>
      </c>
      <c r="AN813" s="897">
        <v>-617</v>
      </c>
      <c r="AO813" s="92">
        <f t="shared" si="2327"/>
        <v>-232</v>
      </c>
      <c r="AP813" s="988">
        <v>-232</v>
      </c>
      <c r="AQ813" s="897">
        <v>181</v>
      </c>
      <c r="AR813" s="897">
        <v>165</v>
      </c>
      <c r="AS813" s="897">
        <v>31</v>
      </c>
      <c r="AT813" s="92">
        <f t="shared" si="2328"/>
        <v>349</v>
      </c>
      <c r="AU813" s="988">
        <v>349</v>
      </c>
      <c r="AV813" s="897">
        <v>93</v>
      </c>
      <c r="AW813" s="897">
        <v>-288</v>
      </c>
      <c r="AX813" s="897">
        <v>-555</v>
      </c>
      <c r="AY813" s="92">
        <f t="shared" si="2329"/>
        <v>-715</v>
      </c>
      <c r="AZ813" s="988">
        <v>-715</v>
      </c>
      <c r="BA813" s="897">
        <v>-125</v>
      </c>
      <c r="BB813" s="897">
        <v>-538</v>
      </c>
      <c r="BC813" s="897">
        <v>-532</v>
      </c>
      <c r="BD813" s="92">
        <f t="shared" si="2330"/>
        <v>-229</v>
      </c>
      <c r="BE813" s="988">
        <v>-229</v>
      </c>
      <c r="BF813" s="897">
        <v>217</v>
      </c>
      <c r="BG813" s="897">
        <v>91</v>
      </c>
      <c r="BH813" s="898">
        <v>346</v>
      </c>
      <c r="BI813" s="92">
        <f t="shared" si="2331"/>
        <v>0</v>
      </c>
      <c r="BJ813" s="989"/>
      <c r="BK813" s="92"/>
      <c r="BL813" s="92"/>
      <c r="BM813" s="92"/>
      <c r="BN813" s="92">
        <f t="shared" si="2332"/>
        <v>0</v>
      </c>
      <c r="BO813" s="989"/>
      <c r="BP813" s="989"/>
      <c r="BQ813" s="989"/>
      <c r="BR813" s="989"/>
      <c r="BS813" s="305"/>
    </row>
    <row r="814" spans="1:71" s="300" customFormat="1" ht="15" hidden="1" outlineLevel="1">
      <c r="A814" s="304" t="s">
        <v>127</v>
      </c>
      <c r="B814" s="166"/>
      <c r="C814" s="988">
        <v>-455</v>
      </c>
      <c r="D814" s="988">
        <v>-5</v>
      </c>
      <c r="E814" s="988">
        <v>154</v>
      </c>
      <c r="F814" s="988">
        <v>-126</v>
      </c>
      <c r="G814" s="988">
        <v>-187</v>
      </c>
      <c r="H814" s="897">
        <v>-270</v>
      </c>
      <c r="I814" s="897">
        <v>-436</v>
      </c>
      <c r="J814" s="897">
        <v>-307</v>
      </c>
      <c r="K814" s="305">
        <f t="shared" si="2321"/>
        <v>-247</v>
      </c>
      <c r="L814" s="988">
        <v>-247</v>
      </c>
      <c r="M814" s="897">
        <v>-191</v>
      </c>
      <c r="N814" s="897">
        <v>-98</v>
      </c>
      <c r="O814" s="897">
        <v>-127</v>
      </c>
      <c r="P814" s="305">
        <f t="shared" si="2322"/>
        <v>-95</v>
      </c>
      <c r="Q814" s="988">
        <v>-95</v>
      </c>
      <c r="R814" s="897">
        <v>-152</v>
      </c>
      <c r="S814" s="897">
        <v>-88</v>
      </c>
      <c r="T814" s="897">
        <v>41</v>
      </c>
      <c r="U814" s="305">
        <f t="shared" si="2323"/>
        <v>-16</v>
      </c>
      <c r="V814" s="988">
        <v>-16</v>
      </c>
      <c r="W814" s="897">
        <v>-219</v>
      </c>
      <c r="X814" s="897">
        <v>-393</v>
      </c>
      <c r="Y814" s="897">
        <v>267</v>
      </c>
      <c r="Z814" s="305">
        <f t="shared" si="2324"/>
        <v>328</v>
      </c>
      <c r="AA814" s="988">
        <v>328</v>
      </c>
      <c r="AB814" s="897">
        <v>-318</v>
      </c>
      <c r="AC814" s="897">
        <v>51</v>
      </c>
      <c r="AD814" s="897">
        <v>533</v>
      </c>
      <c r="AE814" s="305">
        <f t="shared" si="2325"/>
        <v>1207</v>
      </c>
      <c r="AF814" s="988">
        <v>1207</v>
      </c>
      <c r="AG814" s="897">
        <v>-410</v>
      </c>
      <c r="AH814" s="897">
        <v>-505</v>
      </c>
      <c r="AI814" s="897">
        <v>-181</v>
      </c>
      <c r="AJ814" s="305">
        <f t="shared" si="2326"/>
        <v>-50</v>
      </c>
      <c r="AK814" s="988">
        <v>-50</v>
      </c>
      <c r="AL814" s="897">
        <v>222</v>
      </c>
      <c r="AM814" s="897">
        <v>491</v>
      </c>
      <c r="AN814" s="897">
        <v>670</v>
      </c>
      <c r="AO814" s="92">
        <f t="shared" si="2327"/>
        <v>457</v>
      </c>
      <c r="AP814" s="988">
        <v>457</v>
      </c>
      <c r="AQ814" s="897">
        <v>-440</v>
      </c>
      <c r="AR814" s="897">
        <v>-759</v>
      </c>
      <c r="AS814" s="897">
        <v>-903</v>
      </c>
      <c r="AT814" s="92">
        <f t="shared" si="2328"/>
        <v>-1368</v>
      </c>
      <c r="AU814" s="988">
        <v>-1368</v>
      </c>
      <c r="AV814" s="897">
        <v>-574</v>
      </c>
      <c r="AW814" s="897">
        <v>-788</v>
      </c>
      <c r="AX814" s="897">
        <v>-381</v>
      </c>
      <c r="AY814" s="92">
        <f t="shared" si="2329"/>
        <v>-541</v>
      </c>
      <c r="AZ814" s="988">
        <v>-541</v>
      </c>
      <c r="BA814" s="897">
        <v>-87</v>
      </c>
      <c r="BB814" s="897">
        <v>-126</v>
      </c>
      <c r="BC814" s="897">
        <v>-82</v>
      </c>
      <c r="BD814" s="92">
        <f t="shared" si="2330"/>
        <v>-387</v>
      </c>
      <c r="BE814" s="988">
        <v>-387</v>
      </c>
      <c r="BF814" s="897">
        <v>-154</v>
      </c>
      <c r="BG814" s="897">
        <v>-299</v>
      </c>
      <c r="BH814" s="898">
        <v>162</v>
      </c>
      <c r="BI814" s="92">
        <f t="shared" si="2331"/>
        <v>0</v>
      </c>
      <c r="BJ814" s="989"/>
      <c r="BK814" s="92"/>
      <c r="BL814" s="92"/>
      <c r="BM814" s="92"/>
      <c r="BN814" s="92">
        <f t="shared" si="2332"/>
        <v>0</v>
      </c>
      <c r="BO814" s="989"/>
      <c r="BP814" s="989"/>
      <c r="BQ814" s="989"/>
      <c r="BR814" s="989"/>
      <c r="BS814" s="305"/>
    </row>
    <row r="815" spans="1:71" s="300" customFormat="1" ht="15" hidden="1" outlineLevel="1">
      <c r="A815" s="82" t="s">
        <v>128</v>
      </c>
      <c r="B815" s="111"/>
      <c r="C815" s="989"/>
      <c r="D815" s="989"/>
      <c r="E815" s="989"/>
      <c r="F815" s="989"/>
      <c r="G815" s="989"/>
      <c r="H815" s="92"/>
      <c r="I815" s="92"/>
      <c r="J815" s="92"/>
      <c r="K815" s="92"/>
      <c r="L815" s="989"/>
      <c r="M815" s="92"/>
      <c r="N815" s="92"/>
      <c r="O815" s="92"/>
      <c r="P815" s="92"/>
      <c r="Q815" s="989"/>
      <c r="R815" s="92"/>
      <c r="S815" s="92"/>
      <c r="T815" s="92"/>
      <c r="U815" s="92"/>
      <c r="V815" s="989"/>
      <c r="W815" s="92"/>
      <c r="X815" s="92"/>
      <c r="Y815" s="92"/>
      <c r="Z815" s="92"/>
      <c r="AA815" s="989"/>
      <c r="AB815" s="92"/>
      <c r="AC815" s="92"/>
      <c r="AD815" s="92"/>
      <c r="AE815" s="92"/>
      <c r="AF815" s="989"/>
      <c r="AG815" s="92"/>
      <c r="AH815" s="92"/>
      <c r="AI815" s="92"/>
      <c r="AJ815" s="92"/>
      <c r="AK815" s="989"/>
      <c r="AL815" s="92"/>
      <c r="AM815" s="92"/>
      <c r="AN815" s="92"/>
      <c r="AO815" s="305">
        <f t="shared" si="2327"/>
        <v>0</v>
      </c>
      <c r="AP815" s="989"/>
      <c r="AQ815" s="92"/>
      <c r="AR815" s="92"/>
      <c r="AS815" s="92"/>
      <c r="AT815" s="305">
        <f t="shared" si="2328"/>
        <v>0</v>
      </c>
      <c r="AU815" s="989"/>
      <c r="AV815" s="92"/>
      <c r="AW815" s="92"/>
      <c r="AX815" s="92"/>
      <c r="AY815" s="305">
        <f t="shared" si="2329"/>
        <v>0</v>
      </c>
      <c r="AZ815" s="989"/>
      <c r="BA815" s="92"/>
      <c r="BB815" s="92"/>
      <c r="BC815" s="92"/>
      <c r="BD815" s="92">
        <f t="shared" si="2330"/>
        <v>0</v>
      </c>
      <c r="BE815" s="989"/>
      <c r="BF815" s="92"/>
      <c r="BG815" s="92"/>
      <c r="BH815" s="464"/>
      <c r="BI815" s="92">
        <f t="shared" si="2331"/>
        <v>0</v>
      </c>
      <c r="BJ815" s="989"/>
      <c r="BK815" s="92"/>
      <c r="BL815" s="92"/>
      <c r="BM815" s="92"/>
      <c r="BN815" s="92">
        <f t="shared" si="2332"/>
        <v>0</v>
      </c>
      <c r="BO815" s="989"/>
      <c r="BP815" s="989"/>
      <c r="BQ815" s="989"/>
      <c r="BR815" s="989"/>
      <c r="BS815" s="305"/>
    </row>
    <row r="816" spans="1:71" s="300" customFormat="1" ht="15" hidden="1" outlineLevel="1">
      <c r="A816" s="304" t="s">
        <v>126</v>
      </c>
      <c r="B816" s="166"/>
      <c r="C816" s="988">
        <v>1660</v>
      </c>
      <c r="D816" s="989"/>
      <c r="E816" s="989"/>
      <c r="F816" s="989"/>
      <c r="G816" s="989"/>
      <c r="H816" s="92"/>
      <c r="I816" s="92"/>
      <c r="J816" s="92"/>
      <c r="K816" s="305">
        <f>L816</f>
        <v>0</v>
      </c>
      <c r="L816" s="989"/>
      <c r="M816" s="92"/>
      <c r="N816" s="92"/>
      <c r="O816" s="92"/>
      <c r="P816" s="305">
        <f>Q816</f>
        <v>0</v>
      </c>
      <c r="Q816" s="989"/>
      <c r="R816" s="92"/>
      <c r="S816" s="92"/>
      <c r="T816" s="92"/>
      <c r="U816" s="305">
        <f>V816</f>
        <v>0</v>
      </c>
      <c r="V816" s="989"/>
      <c r="W816" s="92"/>
      <c r="X816" s="92"/>
      <c r="Y816" s="92"/>
      <c r="Z816" s="305">
        <f>AA816</f>
        <v>0</v>
      </c>
      <c r="AA816" s="989"/>
      <c r="AB816" s="92"/>
      <c r="AC816" s="92"/>
      <c r="AD816" s="92"/>
      <c r="AE816" s="305">
        <f>AF816</f>
        <v>0</v>
      </c>
      <c r="AF816" s="989"/>
      <c r="AG816" s="92"/>
      <c r="AH816" s="92"/>
      <c r="AI816" s="92"/>
      <c r="AJ816" s="305">
        <f>AK816</f>
        <v>0</v>
      </c>
      <c r="AK816" s="989"/>
      <c r="AL816" s="92"/>
      <c r="AM816" s="92"/>
      <c r="AN816" s="92"/>
      <c r="AO816" s="92">
        <f t="shared" si="2327"/>
        <v>0</v>
      </c>
      <c r="AP816" s="989"/>
      <c r="AQ816" s="92"/>
      <c r="AR816" s="92"/>
      <c r="AS816" s="92"/>
      <c r="AT816" s="92">
        <f t="shared" si="2328"/>
        <v>0</v>
      </c>
      <c r="AU816" s="989"/>
      <c r="AV816" s="92"/>
      <c r="AW816" s="92"/>
      <c r="AX816" s="92"/>
      <c r="AY816" s="92">
        <f t="shared" si="2329"/>
        <v>0</v>
      </c>
      <c r="AZ816" s="989"/>
      <c r="BA816" s="92"/>
      <c r="BB816" s="92"/>
      <c r="BC816" s="92"/>
      <c r="BD816" s="92">
        <f t="shared" si="2330"/>
        <v>0</v>
      </c>
      <c r="BE816" s="989"/>
      <c r="BF816" s="92"/>
      <c r="BG816" s="92"/>
      <c r="BH816" s="464"/>
      <c r="BI816" s="92">
        <f t="shared" si="2331"/>
        <v>0</v>
      </c>
      <c r="BJ816" s="989"/>
      <c r="BK816" s="92"/>
      <c r="BL816" s="92"/>
      <c r="BM816" s="92"/>
      <c r="BN816" s="92">
        <f t="shared" si="2332"/>
        <v>0</v>
      </c>
      <c r="BO816" s="989"/>
      <c r="BP816" s="989"/>
      <c r="BQ816" s="989"/>
      <c r="BR816" s="989"/>
      <c r="BS816" s="305"/>
    </row>
    <row r="817" spans="1:71" s="51" customFormat="1" ht="15" hidden="1" outlineLevel="1">
      <c r="A817" s="87" t="s">
        <v>129</v>
      </c>
      <c r="B817" s="506"/>
      <c r="C817" s="996">
        <f t="shared" si="2333" ref="C817:AU817">SUM(C807:C816)</f>
        <v>4301</v>
      </c>
      <c r="D817" s="996">
        <f t="shared" si="2333"/>
        <v>3689</v>
      </c>
      <c r="E817" s="996">
        <f t="shared" si="2333"/>
        <v>1929</v>
      </c>
      <c r="F817" s="996">
        <f t="shared" si="2333"/>
        <v>3054</v>
      </c>
      <c r="G817" s="996">
        <f t="shared" si="2333"/>
        <v>4242</v>
      </c>
      <c r="H817" s="89">
        <f t="shared" si="2333"/>
        <v>474</v>
      </c>
      <c r="I817" s="89">
        <f t="shared" si="2333"/>
        <v>1201</v>
      </c>
      <c r="J817" s="89">
        <f t="shared" si="2333"/>
        <v>2565</v>
      </c>
      <c r="K817" s="89">
        <f t="shared" si="2333"/>
        <v>3236</v>
      </c>
      <c r="L817" s="996">
        <f t="shared" si="2333"/>
        <v>3236</v>
      </c>
      <c r="M817" s="89">
        <f t="shared" si="2333"/>
        <v>566</v>
      </c>
      <c r="N817" s="89">
        <f t="shared" si="2333"/>
        <v>1303</v>
      </c>
      <c r="O817" s="89">
        <f t="shared" si="2333"/>
        <v>2686</v>
      </c>
      <c r="P817" s="89">
        <f t="shared" si="2333"/>
        <v>3616</v>
      </c>
      <c r="Q817" s="996">
        <f t="shared" si="2333"/>
        <v>3616</v>
      </c>
      <c r="R817" s="89">
        <f t="shared" si="2333"/>
        <v>714</v>
      </c>
      <c r="S817" s="89">
        <f t="shared" si="2333"/>
        <v>1358</v>
      </c>
      <c r="T817" s="89">
        <f t="shared" si="2333"/>
        <v>2742</v>
      </c>
      <c r="U817" s="89">
        <f t="shared" si="2333"/>
        <v>3993</v>
      </c>
      <c r="V817" s="996">
        <f t="shared" si="2333"/>
        <v>3993</v>
      </c>
      <c r="W817" s="89">
        <f t="shared" si="2333"/>
        <v>857</v>
      </c>
      <c r="X817" s="89">
        <f t="shared" si="2333"/>
        <v>1348</v>
      </c>
      <c r="Y817" s="89">
        <f t="shared" si="2333"/>
        <v>3214</v>
      </c>
      <c r="Z817" s="89">
        <f t="shared" si="2333"/>
        <v>4314</v>
      </c>
      <c r="AA817" s="996">
        <f t="shared" si="2333"/>
        <v>4314</v>
      </c>
      <c r="AB817" s="89">
        <f t="shared" si="2333"/>
        <v>626</v>
      </c>
      <c r="AC817" s="89">
        <f t="shared" si="2333"/>
        <v>2090</v>
      </c>
      <c r="AD817" s="89">
        <f t="shared" si="2333"/>
        <v>3818</v>
      </c>
      <c r="AE817" s="89">
        <f t="shared" si="2333"/>
        <v>5175</v>
      </c>
      <c r="AF817" s="996">
        <f t="shared" si="2333"/>
        <v>5175</v>
      </c>
      <c r="AG817" s="89">
        <f t="shared" si="2333"/>
        <v>714</v>
      </c>
      <c r="AH817" s="89">
        <f t="shared" si="2333"/>
        <v>2062</v>
      </c>
      <c r="AI817" s="89">
        <f t="shared" si="2333"/>
        <v>3895</v>
      </c>
      <c r="AJ817" s="89">
        <f t="shared" si="2333"/>
        <v>5129</v>
      </c>
      <c r="AK817" s="996">
        <f t="shared" si="2333"/>
        <v>5129</v>
      </c>
      <c r="AL817" s="89">
        <f>SUM(AL807:AL816)</f>
        <v>1027</v>
      </c>
      <c r="AM817" s="89">
        <f>SUM(AM807:AM816)</f>
        <v>2876</v>
      </c>
      <c r="AN817" s="89">
        <f>SUM(AN807:AN816)</f>
        <v>4172</v>
      </c>
      <c r="AO817" s="90">
        <f t="shared" si="2333"/>
        <v>5491</v>
      </c>
      <c r="AP817" s="997">
        <f t="shared" si="2333"/>
        <v>5491</v>
      </c>
      <c r="AQ817" s="89">
        <f>SUM(AQ807:AQ816)</f>
        <v>1388</v>
      </c>
      <c r="AR817" s="89">
        <f>SUM(AR807:AR816)</f>
        <v>2916</v>
      </c>
      <c r="AS817" s="89">
        <f>SUM(AS807:AS816)</f>
        <v>4245</v>
      </c>
      <c r="AT817" s="90">
        <f t="shared" si="2333"/>
        <v>5116</v>
      </c>
      <c r="AU817" s="997">
        <f t="shared" si="2333"/>
        <v>5116</v>
      </c>
      <c r="AV817" s="89">
        <f t="shared" si="2334" ref="AV817:BJ817">SUM(AV807:AV816)</f>
        <v>432</v>
      </c>
      <c r="AW817" s="89">
        <f t="shared" si="2334"/>
        <v>2105</v>
      </c>
      <c r="AX817" s="89">
        <f t="shared" si="2334"/>
        <v>4151</v>
      </c>
      <c r="AY817" s="90">
        <f t="shared" si="2334"/>
        <v>5121</v>
      </c>
      <c r="AZ817" s="997">
        <f t="shared" si="2334"/>
        <v>5121</v>
      </c>
      <c r="BA817" s="89">
        <f>SUM(BA807:BA816)</f>
        <v>601</v>
      </c>
      <c r="BB817" s="89">
        <f>SUM(BB807:BB816)</f>
        <v>1770</v>
      </c>
      <c r="BC817" s="89">
        <f>SUM(BC807:BC816)</f>
        <v>3003</v>
      </c>
      <c r="BD817" s="90">
        <f t="shared" si="2334"/>
        <v>4228</v>
      </c>
      <c r="BE817" s="997">
        <f t="shared" si="2334"/>
        <v>4228</v>
      </c>
      <c r="BF817" s="90">
        <f>SUM(BF807:BF816)</f>
        <v>1666</v>
      </c>
      <c r="BG817" s="90">
        <f>SUM(BG807:BG816)</f>
        <v>4025</v>
      </c>
      <c r="BH817" s="742">
        <f>SUM(BH807:BH816)</f>
        <v>7226</v>
      </c>
      <c r="BI817" s="90">
        <f>SUM(BI807:BI816)</f>
        <v>0</v>
      </c>
      <c r="BJ817" s="997">
        <f t="shared" si="2334"/>
        <v>0</v>
      </c>
      <c r="BK817" s="90">
        <f t="shared" si="2335" ref="BK817:BR817">SUM(BK807:BK816)</f>
        <v>0</v>
      </c>
      <c r="BL817" s="90">
        <f t="shared" si="2335"/>
        <v>0</v>
      </c>
      <c r="BM817" s="90">
        <f t="shared" si="2335"/>
        <v>0</v>
      </c>
      <c r="BN817" s="90">
        <f t="shared" si="2335"/>
        <v>0</v>
      </c>
      <c r="BO817" s="997">
        <f t="shared" si="2335"/>
        <v>0</v>
      </c>
      <c r="BP817" s="997">
        <f t="shared" si="2335"/>
        <v>0</v>
      </c>
      <c r="BQ817" s="997">
        <f t="shared" si="2335"/>
        <v>0</v>
      </c>
      <c r="BR817" s="997">
        <f t="shared" si="2335"/>
        <v>0</v>
      </c>
      <c r="BS817" s="57"/>
    </row>
    <row r="818" spans="1:71" s="17" customFormat="1" ht="15" hidden="1" outlineLevel="1">
      <c r="A818" s="492"/>
      <c r="B818" s="509"/>
      <c r="C818" s="1027"/>
      <c r="D818" s="1027"/>
      <c r="E818" s="1027"/>
      <c r="F818" s="1027"/>
      <c r="G818" s="1027"/>
      <c r="H818" s="843"/>
      <c r="I818" s="843"/>
      <c r="J818" s="843"/>
      <c r="K818" s="843"/>
      <c r="L818" s="1027"/>
      <c r="M818" s="843"/>
      <c r="N818" s="843"/>
      <c r="O818" s="843"/>
      <c r="P818" s="843"/>
      <c r="Q818" s="1027"/>
      <c r="R818" s="843"/>
      <c r="S818" s="843"/>
      <c r="T818" s="843"/>
      <c r="U818" s="843"/>
      <c r="V818" s="1027"/>
      <c r="W818" s="843"/>
      <c r="X818" s="843"/>
      <c r="Y818" s="843"/>
      <c r="Z818" s="843"/>
      <c r="AA818" s="1027"/>
      <c r="AB818" s="843"/>
      <c r="AC818" s="843"/>
      <c r="AD818" s="843"/>
      <c r="AE818" s="843"/>
      <c r="AF818" s="1027"/>
      <c r="AG818" s="843"/>
      <c r="AH818" s="843"/>
      <c r="AI818" s="843"/>
      <c r="AJ818" s="843"/>
      <c r="AK818" s="1027"/>
      <c r="AL818" s="843"/>
      <c r="AM818" s="843"/>
      <c r="AN818" s="843"/>
      <c r="AO818" s="843"/>
      <c r="AP818" s="1027"/>
      <c r="AQ818" s="843"/>
      <c r="AR818" s="843"/>
      <c r="AS818" s="843"/>
      <c r="AT818" s="843"/>
      <c r="AU818" s="1027"/>
      <c r="AV818" s="843"/>
      <c r="AW818" s="843"/>
      <c r="AX818" s="843"/>
      <c r="AY818" s="843"/>
      <c r="AZ818" s="1027"/>
      <c r="BA818" s="843"/>
      <c r="BB818" s="843"/>
      <c r="BC818" s="843"/>
      <c r="BD818" s="843"/>
      <c r="BE818" s="1027"/>
      <c r="BF818" s="843"/>
      <c r="BG818" s="843"/>
      <c r="BH818" s="844"/>
      <c r="BI818" s="843"/>
      <c r="BJ818" s="1027"/>
      <c r="BK818" s="843"/>
      <c r="BL818" s="843"/>
      <c r="BM818" s="843"/>
      <c r="BN818" s="843"/>
      <c r="BO818" s="1027"/>
      <c r="BP818" s="1027"/>
      <c r="BQ818" s="1027"/>
      <c r="BR818" s="1027"/>
      <c r="BS818" s="457"/>
    </row>
    <row r="819" spans="1:71" s="17" customFormat="1" ht="15" hidden="1" outlineLevel="1">
      <c r="A819" s="46" t="s">
        <v>130</v>
      </c>
      <c r="B819" s="509"/>
      <c r="C819" s="1027"/>
      <c r="D819" s="1027"/>
      <c r="E819" s="1027"/>
      <c r="F819" s="1027"/>
      <c r="G819" s="1027"/>
      <c r="H819" s="843"/>
      <c r="I819" s="843"/>
      <c r="J819" s="843"/>
      <c r="K819" s="843"/>
      <c r="L819" s="1027"/>
      <c r="M819" s="843"/>
      <c r="N819" s="843"/>
      <c r="O819" s="843"/>
      <c r="P819" s="843"/>
      <c r="Q819" s="1027"/>
      <c r="R819" s="843"/>
      <c r="S819" s="843"/>
      <c r="T819" s="843"/>
      <c r="U819" s="843"/>
      <c r="V819" s="1027"/>
      <c r="W819" s="843"/>
      <c r="X819" s="843"/>
      <c r="Y819" s="843"/>
      <c r="Z819" s="843"/>
      <c r="AA819" s="1027"/>
      <c r="AB819" s="843"/>
      <c r="AC819" s="843"/>
      <c r="AD819" s="843"/>
      <c r="AE819" s="843"/>
      <c r="AF819" s="1027"/>
      <c r="AG819" s="843"/>
      <c r="AH819" s="843"/>
      <c r="AI819" s="843"/>
      <c r="AJ819" s="843"/>
      <c r="AK819" s="1027"/>
      <c r="AL819" s="843"/>
      <c r="AM819" s="843"/>
      <c r="AN819" s="843"/>
      <c r="AO819" s="843"/>
      <c r="AP819" s="1027"/>
      <c r="AQ819" s="843"/>
      <c r="AR819" s="843"/>
      <c r="AS819" s="843"/>
      <c r="AT819" s="843"/>
      <c r="AU819" s="1027"/>
      <c r="AV819" s="843"/>
      <c r="AW819" s="843"/>
      <c r="AX819" s="843"/>
      <c r="AY819" s="843"/>
      <c r="AZ819" s="1027"/>
      <c r="BA819" s="843"/>
      <c r="BB819" s="843"/>
      <c r="BC819" s="843"/>
      <c r="BD819" s="843"/>
      <c r="BE819" s="1027"/>
      <c r="BF819" s="843"/>
      <c r="BG819" s="843"/>
      <c r="BH819" s="844"/>
      <c r="BI819" s="843"/>
      <c r="BJ819" s="1027"/>
      <c r="BK819" s="843"/>
      <c r="BL819" s="843"/>
      <c r="BM819" s="843"/>
      <c r="BN819" s="843"/>
      <c r="BO819" s="1027"/>
      <c r="BP819" s="1027"/>
      <c r="BQ819" s="1027"/>
      <c r="BR819" s="1027"/>
      <c r="BS819" s="457"/>
    </row>
    <row r="820" spans="1:71" s="300" customFormat="1" ht="15" hidden="1" outlineLevel="1">
      <c r="A820" s="304" t="s">
        <v>131</v>
      </c>
      <c r="B820" s="166"/>
      <c r="C820" s="988">
        <v>21359</v>
      </c>
      <c r="D820" s="988">
        <v>22881</v>
      </c>
      <c r="E820" s="988">
        <v>29436</v>
      </c>
      <c r="F820" s="988">
        <v>18872</v>
      </c>
      <c r="G820" s="988">
        <v>21243</v>
      </c>
      <c r="H820" s="897">
        <v>6483</v>
      </c>
      <c r="I820" s="897">
        <v>14205</v>
      </c>
      <c r="J820" s="897">
        <v>27648</v>
      </c>
      <c r="K820" s="305">
        <f t="shared" si="2336" ref="K820:K838">L820</f>
        <v>34609</v>
      </c>
      <c r="L820" s="988">
        <v>34609</v>
      </c>
      <c r="M820" s="897">
        <v>9453</v>
      </c>
      <c r="N820" s="897">
        <v>16012</v>
      </c>
      <c r="O820" s="897">
        <v>22796</v>
      </c>
      <c r="P820" s="305">
        <f t="shared" si="2337" ref="P820:P838">Q820</f>
        <v>28693</v>
      </c>
      <c r="Q820" s="988">
        <v>28693</v>
      </c>
      <c r="R820" s="897">
        <v>6216</v>
      </c>
      <c r="S820" s="897">
        <v>12589</v>
      </c>
      <c r="T820" s="897">
        <v>19132</v>
      </c>
      <c r="U820" s="305">
        <f t="shared" si="2338" ref="U820:U838">V820</f>
        <v>25061</v>
      </c>
      <c r="V820" s="988">
        <v>25061</v>
      </c>
      <c r="W820" s="897">
        <v>7083</v>
      </c>
      <c r="X820" s="897">
        <v>14521</v>
      </c>
      <c r="Y820" s="897">
        <v>19508</v>
      </c>
      <c r="Z820" s="305">
        <f t="shared" si="2339" ref="Z820:Z838">AA820</f>
        <v>25341</v>
      </c>
      <c r="AA820" s="988">
        <v>25341</v>
      </c>
      <c r="AB820" s="897">
        <v>10619</v>
      </c>
      <c r="AC820" s="897">
        <v>19515</v>
      </c>
      <c r="AD820" s="897">
        <v>26223</v>
      </c>
      <c r="AE820" s="305">
        <f t="shared" si="2340" ref="AE820:AE838">AF820</f>
        <v>33183</v>
      </c>
      <c r="AF820" s="988">
        <v>33183</v>
      </c>
      <c r="AG820" s="897">
        <v>9034</v>
      </c>
      <c r="AH820" s="897">
        <v>17811</v>
      </c>
      <c r="AI820" s="897">
        <v>23075</v>
      </c>
      <c r="AJ820" s="305">
        <f t="shared" si="2341" ref="AJ820:AJ838">AK820</f>
        <v>29849</v>
      </c>
      <c r="AK820" s="988">
        <v>29849</v>
      </c>
      <c r="AL820" s="897">
        <v>12114</v>
      </c>
      <c r="AM820" s="897">
        <v>19952</v>
      </c>
      <c r="AN820" s="897">
        <v>25567</v>
      </c>
      <c r="AO820" s="92">
        <f t="shared" si="2342" ref="AO820:AO838">AP820</f>
        <v>31950</v>
      </c>
      <c r="AP820" s="988">
        <v>31950</v>
      </c>
      <c r="AQ820" s="897">
        <v>10290</v>
      </c>
      <c r="AR820" s="897">
        <v>16493</v>
      </c>
      <c r="AS820" s="897">
        <v>22610</v>
      </c>
      <c r="AT820" s="92">
        <f t="shared" si="2343" ref="AT820:AT838">AU820</f>
        <v>31774</v>
      </c>
      <c r="AU820" s="988">
        <v>31774</v>
      </c>
      <c r="AV820" s="897">
        <v>12400</v>
      </c>
      <c r="AW820" s="897">
        <v>19928</v>
      </c>
      <c r="AX820" s="897">
        <v>25577</v>
      </c>
      <c r="AY820" s="92">
        <f t="shared" si="2344" ref="AY820:AY838">AZ820</f>
        <v>31494</v>
      </c>
      <c r="AZ820" s="988">
        <v>31494</v>
      </c>
      <c r="BA820" s="897">
        <v>7008</v>
      </c>
      <c r="BB820" s="897">
        <v>12454</v>
      </c>
      <c r="BC820" s="897">
        <v>17443</v>
      </c>
      <c r="BD820" s="92">
        <f t="shared" si="2345" ref="BD820:BD837">BE820</f>
        <v>22973</v>
      </c>
      <c r="BE820" s="988">
        <v>22973</v>
      </c>
      <c r="BF820" s="897">
        <v>6719</v>
      </c>
      <c r="BG820" s="897">
        <v>15463</v>
      </c>
      <c r="BH820" s="898">
        <v>26841</v>
      </c>
      <c r="BI820" s="92">
        <f t="shared" si="2346" ref="BI820:BI838">BJ820</f>
        <v>0</v>
      </c>
      <c r="BJ820" s="989"/>
      <c r="BK820" s="92"/>
      <c r="BL820" s="92"/>
      <c r="BM820" s="92"/>
      <c r="BN820" s="92">
        <f t="shared" si="2347" ref="BN820:BN838">BO820</f>
        <v>0</v>
      </c>
      <c r="BO820" s="989"/>
      <c r="BP820" s="989"/>
      <c r="BQ820" s="989"/>
      <c r="BR820" s="989"/>
      <c r="BS820" s="305"/>
    </row>
    <row r="821" spans="1:71" s="300" customFormat="1" ht="15" hidden="1" outlineLevel="1">
      <c r="A821" s="304" t="s">
        <v>132</v>
      </c>
      <c r="B821" s="166"/>
      <c r="C821" s="988">
        <v>6894</v>
      </c>
      <c r="D821" s="988">
        <v>4349</v>
      </c>
      <c r="E821" s="988">
        <v>2012</v>
      </c>
      <c r="F821" s="988">
        <v>1495</v>
      </c>
      <c r="G821" s="988">
        <v>3173</v>
      </c>
      <c r="H821" s="897">
        <v>1328</v>
      </c>
      <c r="I821" s="897">
        <v>2744</v>
      </c>
      <c r="J821" s="897">
        <v>5263</v>
      </c>
      <c r="K821" s="305">
        <f t="shared" si="2336"/>
        <v>6755</v>
      </c>
      <c r="L821" s="988">
        <v>6755</v>
      </c>
      <c r="M821" s="897">
        <v>1152</v>
      </c>
      <c r="N821" s="897">
        <v>2074</v>
      </c>
      <c r="O821" s="897">
        <v>2688</v>
      </c>
      <c r="P821" s="305">
        <f t="shared" si="2337"/>
        <v>3754</v>
      </c>
      <c r="Q821" s="988">
        <v>3754</v>
      </c>
      <c r="R821" s="897">
        <v>1664</v>
      </c>
      <c r="S821" s="897">
        <v>2487</v>
      </c>
      <c r="T821" s="897">
        <v>4069</v>
      </c>
      <c r="U821" s="305">
        <f t="shared" si="2338"/>
        <v>5546</v>
      </c>
      <c r="V821" s="988">
        <v>5546</v>
      </c>
      <c r="W821" s="897">
        <v>2601</v>
      </c>
      <c r="X821" s="897">
        <v>3430</v>
      </c>
      <c r="Y821" s="897">
        <v>5179</v>
      </c>
      <c r="Z821" s="305">
        <f t="shared" si="2339"/>
        <v>6504</v>
      </c>
      <c r="AA821" s="988">
        <v>6504</v>
      </c>
      <c r="AB821" s="897">
        <v>1138</v>
      </c>
      <c r="AC821" s="897">
        <v>3576</v>
      </c>
      <c r="AD821" s="897">
        <v>4637</v>
      </c>
      <c r="AE821" s="305">
        <f t="shared" si="2340"/>
        <v>6859</v>
      </c>
      <c r="AF821" s="988">
        <v>6859</v>
      </c>
      <c r="AG821" s="897">
        <v>633</v>
      </c>
      <c r="AH821" s="897">
        <v>2098</v>
      </c>
      <c r="AI821" s="897">
        <v>3735</v>
      </c>
      <c r="AJ821" s="305">
        <f t="shared" si="2341"/>
        <v>5277</v>
      </c>
      <c r="AK821" s="988">
        <v>5277</v>
      </c>
      <c r="AL821" s="897">
        <v>5250</v>
      </c>
      <c r="AM821" s="897">
        <v>6473</v>
      </c>
      <c r="AN821" s="897">
        <v>7544</v>
      </c>
      <c r="AO821" s="92">
        <f t="shared" si="2342"/>
        <v>8405</v>
      </c>
      <c r="AP821" s="988">
        <v>8405</v>
      </c>
      <c r="AQ821" s="897">
        <v>992</v>
      </c>
      <c r="AR821" s="897">
        <v>1867</v>
      </c>
      <c r="AS821" s="897">
        <v>3151</v>
      </c>
      <c r="AT821" s="92">
        <f t="shared" si="2343"/>
        <v>4513</v>
      </c>
      <c r="AU821" s="988">
        <v>4513</v>
      </c>
      <c r="AV821" s="897">
        <v>5216</v>
      </c>
      <c r="AW821" s="897">
        <v>7622</v>
      </c>
      <c r="AX821" s="897">
        <v>8767</v>
      </c>
      <c r="AY821" s="92">
        <f t="shared" si="2344"/>
        <v>10969</v>
      </c>
      <c r="AZ821" s="988">
        <v>10969</v>
      </c>
      <c r="BA821" s="897">
        <v>3739</v>
      </c>
      <c r="BB821" s="897">
        <v>4183</v>
      </c>
      <c r="BC821" s="897">
        <v>4755</v>
      </c>
      <c r="BD821" s="92">
        <f t="shared" si="2345"/>
        <v>5400</v>
      </c>
      <c r="BE821" s="988">
        <v>5400</v>
      </c>
      <c r="BF821" s="897">
        <v>500</v>
      </c>
      <c r="BG821" s="897">
        <v>1510</v>
      </c>
      <c r="BH821" s="898">
        <v>2137</v>
      </c>
      <c r="BI821" s="92">
        <f t="shared" si="2346"/>
        <v>0</v>
      </c>
      <c r="BJ821" s="989"/>
      <c r="BK821" s="92"/>
      <c r="BL821" s="92"/>
      <c r="BM821" s="92"/>
      <c r="BN821" s="92">
        <f t="shared" si="2347"/>
        <v>0</v>
      </c>
      <c r="BO821" s="989"/>
      <c r="BP821" s="989"/>
      <c r="BQ821" s="989"/>
      <c r="BR821" s="989"/>
      <c r="BS821" s="305"/>
    </row>
    <row r="822" spans="1:71" s="300" customFormat="1" ht="15" hidden="1" outlineLevel="1">
      <c r="A822" s="304" t="s">
        <v>133</v>
      </c>
      <c r="B822" s="166"/>
      <c r="C822" s="988">
        <v>369</v>
      </c>
      <c r="D822" s="988">
        <v>505</v>
      </c>
      <c r="E822" s="988">
        <v>1000</v>
      </c>
      <c r="F822" s="988">
        <v>1398</v>
      </c>
      <c r="G822" s="988">
        <v>1045</v>
      </c>
      <c r="H822" s="897">
        <v>238</v>
      </c>
      <c r="I822" s="897">
        <v>802</v>
      </c>
      <c r="J822" s="897">
        <v>1084</v>
      </c>
      <c r="K822" s="305">
        <f t="shared" si="2336"/>
        <v>1473</v>
      </c>
      <c r="L822" s="988">
        <v>1473</v>
      </c>
      <c r="M822" s="897">
        <v>296</v>
      </c>
      <c r="N822" s="897">
        <v>591</v>
      </c>
      <c r="O822" s="897">
        <v>795</v>
      </c>
      <c r="P822" s="305">
        <f t="shared" si="2337"/>
        <v>1101</v>
      </c>
      <c r="Q822" s="988">
        <v>1101</v>
      </c>
      <c r="R822" s="897">
        <v>180</v>
      </c>
      <c r="S822" s="897">
        <v>363</v>
      </c>
      <c r="T822" s="897">
        <v>634</v>
      </c>
      <c r="U822" s="305">
        <f t="shared" si="2338"/>
        <v>881</v>
      </c>
      <c r="V822" s="988">
        <v>881</v>
      </c>
      <c r="W822" s="897">
        <v>210</v>
      </c>
      <c r="X822" s="897">
        <v>481</v>
      </c>
      <c r="Y822" s="897">
        <v>767</v>
      </c>
      <c r="Z822" s="305">
        <f t="shared" si="2339"/>
        <v>1125</v>
      </c>
      <c r="AA822" s="988">
        <v>1125</v>
      </c>
      <c r="AB822" s="897">
        <v>53</v>
      </c>
      <c r="AC822" s="897">
        <v>182</v>
      </c>
      <c r="AD822" s="897">
        <v>490</v>
      </c>
      <c r="AE822" s="305">
        <f t="shared" si="2340"/>
        <v>764</v>
      </c>
      <c r="AF822" s="988">
        <v>764</v>
      </c>
      <c r="AG822" s="897">
        <v>241</v>
      </c>
      <c r="AH822" s="897">
        <v>391</v>
      </c>
      <c r="AI822" s="897">
        <v>557</v>
      </c>
      <c r="AJ822" s="305">
        <f t="shared" si="2341"/>
        <v>756</v>
      </c>
      <c r="AK822" s="988">
        <v>756</v>
      </c>
      <c r="AL822" s="897">
        <v>749</v>
      </c>
      <c r="AM822" s="897">
        <v>862</v>
      </c>
      <c r="AN822" s="897">
        <v>991</v>
      </c>
      <c r="AO822" s="92">
        <f t="shared" si="2342"/>
        <v>1350</v>
      </c>
      <c r="AP822" s="988">
        <v>1350</v>
      </c>
      <c r="AQ822" s="897">
        <v>152</v>
      </c>
      <c r="AR822" s="897">
        <v>352</v>
      </c>
      <c r="AS822" s="897">
        <v>574</v>
      </c>
      <c r="AT822" s="92">
        <f t="shared" si="2343"/>
        <v>886</v>
      </c>
      <c r="AU822" s="988">
        <v>886</v>
      </c>
      <c r="AV822" s="897">
        <v>300</v>
      </c>
      <c r="AW822" s="897">
        <v>633</v>
      </c>
      <c r="AX822" s="897">
        <v>786</v>
      </c>
      <c r="AY822" s="92">
        <f t="shared" si="2344"/>
        <v>970</v>
      </c>
      <c r="AZ822" s="988">
        <v>970</v>
      </c>
      <c r="BA822" s="897">
        <v>414</v>
      </c>
      <c r="BB822" s="897">
        <v>516</v>
      </c>
      <c r="BC822" s="897">
        <v>590</v>
      </c>
      <c r="BD822" s="92">
        <f t="shared" si="2345"/>
        <v>710</v>
      </c>
      <c r="BE822" s="988">
        <v>710</v>
      </c>
      <c r="BF822" s="897">
        <v>130</v>
      </c>
      <c r="BG822" s="897">
        <v>248</v>
      </c>
      <c r="BH822" s="898">
        <v>409</v>
      </c>
      <c r="BI822" s="92">
        <f t="shared" si="2346"/>
        <v>0</v>
      </c>
      <c r="BJ822" s="989"/>
      <c r="BK822" s="92"/>
      <c r="BL822" s="92"/>
      <c r="BM822" s="92"/>
      <c r="BN822" s="92">
        <f t="shared" si="2347"/>
        <v>0</v>
      </c>
      <c r="BO822" s="989"/>
      <c r="BP822" s="989"/>
      <c r="BQ822" s="989"/>
      <c r="BR822" s="989"/>
      <c r="BS822" s="305"/>
    </row>
    <row r="823" spans="1:71" s="300" customFormat="1" ht="15" hidden="1" outlineLevel="1">
      <c r="A823" s="304" t="s">
        <v>134</v>
      </c>
      <c r="B823" s="166"/>
      <c r="C823" s="988">
        <v>340</v>
      </c>
      <c r="D823" s="988">
        <v>124</v>
      </c>
      <c r="E823" s="988">
        <v>97</v>
      </c>
      <c r="F823" s="988">
        <v>14</v>
      </c>
      <c r="G823" s="988">
        <v>24</v>
      </c>
      <c r="H823" s="897">
        <v>10</v>
      </c>
      <c r="I823" s="897">
        <v>10</v>
      </c>
      <c r="J823" s="897">
        <v>10</v>
      </c>
      <c r="K823" s="305">
        <f t="shared" si="2336"/>
        <v>10</v>
      </c>
      <c r="L823" s="988">
        <v>10</v>
      </c>
      <c r="M823" s="92"/>
      <c r="N823" s="92"/>
      <c r="O823" s="897">
        <v>6</v>
      </c>
      <c r="P823" s="305">
        <f t="shared" si="2337"/>
        <v>6</v>
      </c>
      <c r="Q823" s="988">
        <v>6</v>
      </c>
      <c r="R823" s="92"/>
      <c r="S823" s="92"/>
      <c r="T823" s="897">
        <v>0</v>
      </c>
      <c r="U823" s="305">
        <f t="shared" si="2338"/>
        <v>0</v>
      </c>
      <c r="V823" s="988">
        <v>0</v>
      </c>
      <c r="W823" s="92"/>
      <c r="X823" s="92"/>
      <c r="Y823" s="92"/>
      <c r="Z823" s="305">
        <f t="shared" si="2339"/>
        <v>0</v>
      </c>
      <c r="AA823" s="988">
        <v>0</v>
      </c>
      <c r="AB823" s="92"/>
      <c r="AC823" s="92"/>
      <c r="AD823" s="92"/>
      <c r="AE823" s="305">
        <f t="shared" si="2340"/>
        <v>0</v>
      </c>
      <c r="AF823" s="989"/>
      <c r="AG823" s="92"/>
      <c r="AH823" s="92"/>
      <c r="AI823" s="92"/>
      <c r="AJ823" s="305">
        <f t="shared" si="2341"/>
        <v>0</v>
      </c>
      <c r="AK823" s="989"/>
      <c r="AL823" s="92"/>
      <c r="AM823" s="92"/>
      <c r="AN823" s="92"/>
      <c r="AO823" s="92">
        <f t="shared" si="2342"/>
        <v>230</v>
      </c>
      <c r="AP823" s="988">
        <v>230</v>
      </c>
      <c r="AQ823" s="92"/>
      <c r="AR823" s="92"/>
      <c r="AS823" s="92"/>
      <c r="AT823" s="92">
        <f t="shared" si="2343"/>
        <v>0</v>
      </c>
      <c r="AU823" s="988">
        <v>0</v>
      </c>
      <c r="AV823" s="92"/>
      <c r="AW823" s="92"/>
      <c r="AX823" s="92"/>
      <c r="AY823" s="92">
        <f t="shared" si="2344"/>
        <v>0</v>
      </c>
      <c r="AZ823" s="989"/>
      <c r="BA823" s="92"/>
      <c r="BB823" s="92"/>
      <c r="BC823" s="92"/>
      <c r="BD823" s="92">
        <f t="shared" si="2345"/>
        <v>0</v>
      </c>
      <c r="BE823" s="989"/>
      <c r="BF823" s="92"/>
      <c r="BG823" s="92"/>
      <c r="BH823" s="464"/>
      <c r="BI823" s="92">
        <f t="shared" si="2346"/>
        <v>0</v>
      </c>
      <c r="BJ823" s="989"/>
      <c r="BK823" s="92"/>
      <c r="BL823" s="92"/>
      <c r="BM823" s="92"/>
      <c r="BN823" s="92">
        <f t="shared" si="2347"/>
        <v>0</v>
      </c>
      <c r="BO823" s="989"/>
      <c r="BP823" s="989"/>
      <c r="BQ823" s="989"/>
      <c r="BR823" s="989"/>
      <c r="BS823" s="305"/>
    </row>
    <row r="824" spans="1:71" s="300" customFormat="1" ht="15" hidden="1" outlineLevel="1">
      <c r="A824" s="304" t="s">
        <v>135</v>
      </c>
      <c r="B824" s="166"/>
      <c r="C824" s="988">
        <v>520</v>
      </c>
      <c r="D824" s="988">
        <v>121</v>
      </c>
      <c r="E824" s="988">
        <v>164</v>
      </c>
      <c r="F824" s="988">
        <v>148</v>
      </c>
      <c r="G824" s="988">
        <v>151</v>
      </c>
      <c r="H824" s="897">
        <v>30</v>
      </c>
      <c r="I824" s="897">
        <v>81</v>
      </c>
      <c r="J824" s="897">
        <v>292</v>
      </c>
      <c r="K824" s="305">
        <f t="shared" si="2336"/>
        <v>406</v>
      </c>
      <c r="L824" s="988">
        <v>406</v>
      </c>
      <c r="M824" s="897">
        <v>47</v>
      </c>
      <c r="N824" s="897">
        <v>132</v>
      </c>
      <c r="O824" s="897">
        <v>178</v>
      </c>
      <c r="P824" s="305">
        <f t="shared" si="2337"/>
        <v>545</v>
      </c>
      <c r="Q824" s="988">
        <v>545</v>
      </c>
      <c r="R824" s="897">
        <v>94</v>
      </c>
      <c r="S824" s="897">
        <v>144</v>
      </c>
      <c r="T824" s="897">
        <v>206</v>
      </c>
      <c r="U824" s="305">
        <f t="shared" si="2338"/>
        <v>262</v>
      </c>
      <c r="V824" s="988">
        <v>262</v>
      </c>
      <c r="W824" s="897">
        <v>24</v>
      </c>
      <c r="X824" s="897">
        <v>118</v>
      </c>
      <c r="Y824" s="897">
        <v>170</v>
      </c>
      <c r="Z824" s="305">
        <f t="shared" si="2339"/>
        <v>274</v>
      </c>
      <c r="AA824" s="988">
        <v>274</v>
      </c>
      <c r="AB824" s="897">
        <v>76</v>
      </c>
      <c r="AC824" s="897">
        <v>135</v>
      </c>
      <c r="AD824" s="897">
        <v>234</v>
      </c>
      <c r="AE824" s="305">
        <f t="shared" si="2340"/>
        <v>533</v>
      </c>
      <c r="AF824" s="988">
        <v>533</v>
      </c>
      <c r="AG824" s="897">
        <v>44</v>
      </c>
      <c r="AH824" s="897">
        <v>223</v>
      </c>
      <c r="AI824" s="897">
        <v>279</v>
      </c>
      <c r="AJ824" s="305">
        <f t="shared" si="2341"/>
        <v>303</v>
      </c>
      <c r="AK824" s="988">
        <v>303</v>
      </c>
      <c r="AL824" s="897">
        <v>116</v>
      </c>
      <c r="AM824" s="897">
        <v>135</v>
      </c>
      <c r="AN824" s="897">
        <v>209</v>
      </c>
      <c r="AO824" s="92">
        <f t="shared" si="2342"/>
        <v>340</v>
      </c>
      <c r="AP824" s="988">
        <v>340</v>
      </c>
      <c r="AQ824" s="897">
        <v>328</v>
      </c>
      <c r="AR824" s="897">
        <v>637</v>
      </c>
      <c r="AS824" s="897">
        <v>696</v>
      </c>
      <c r="AT824" s="92">
        <f t="shared" si="2343"/>
        <v>1406</v>
      </c>
      <c r="AU824" s="988">
        <v>1406</v>
      </c>
      <c r="AV824" s="897">
        <v>208</v>
      </c>
      <c r="AW824" s="897">
        <v>926</v>
      </c>
      <c r="AX824" s="897">
        <v>1034</v>
      </c>
      <c r="AY824" s="92">
        <f t="shared" si="2344"/>
        <v>1071</v>
      </c>
      <c r="AZ824" s="988">
        <v>1071</v>
      </c>
      <c r="BA824" s="897">
        <v>55</v>
      </c>
      <c r="BB824" s="897">
        <v>81</v>
      </c>
      <c r="BC824" s="897">
        <v>153</v>
      </c>
      <c r="BD824" s="92">
        <f t="shared" si="2345"/>
        <v>594</v>
      </c>
      <c r="BE824" s="988">
        <v>594</v>
      </c>
      <c r="BF824" s="897">
        <v>84</v>
      </c>
      <c r="BG824" s="897">
        <v>120</v>
      </c>
      <c r="BH824" s="898">
        <v>169</v>
      </c>
      <c r="BI824" s="92">
        <f t="shared" si="2346"/>
        <v>0</v>
      </c>
      <c r="BJ824" s="989"/>
      <c r="BK824" s="92"/>
      <c r="BL824" s="92"/>
      <c r="BM824" s="92"/>
      <c r="BN824" s="92">
        <f t="shared" si="2347"/>
        <v>0</v>
      </c>
      <c r="BO824" s="989"/>
      <c r="BP824" s="989"/>
      <c r="BQ824" s="989"/>
      <c r="BR824" s="989"/>
      <c r="BS824" s="305"/>
    </row>
    <row r="825" spans="1:71" s="300" customFormat="1" ht="15" hidden="1" outlineLevel="1">
      <c r="A825" s="304" t="s">
        <v>136</v>
      </c>
      <c r="B825" s="166"/>
      <c r="C825" s="988">
        <v>5556</v>
      </c>
      <c r="D825" s="988">
        <v>5147</v>
      </c>
      <c r="E825" s="988">
        <v>4951</v>
      </c>
      <c r="F825" s="988">
        <v>5417</v>
      </c>
      <c r="G825" s="988">
        <v>5908</v>
      </c>
      <c r="H825" s="897">
        <v>849</v>
      </c>
      <c r="I825" s="897">
        <v>1730</v>
      </c>
      <c r="J825" s="897">
        <v>2787</v>
      </c>
      <c r="K825" s="305">
        <f t="shared" si="2336"/>
        <v>3736</v>
      </c>
      <c r="L825" s="988">
        <v>3736</v>
      </c>
      <c r="M825" s="897">
        <v>1213</v>
      </c>
      <c r="N825" s="897">
        <v>2243</v>
      </c>
      <c r="O825" s="897">
        <v>3248</v>
      </c>
      <c r="P825" s="305">
        <f t="shared" si="2337"/>
        <v>4432</v>
      </c>
      <c r="Q825" s="988">
        <v>4432</v>
      </c>
      <c r="R825" s="897">
        <v>949</v>
      </c>
      <c r="S825" s="897">
        <v>2138</v>
      </c>
      <c r="T825" s="897">
        <v>3430</v>
      </c>
      <c r="U825" s="305">
        <f t="shared" si="2338"/>
        <v>4533</v>
      </c>
      <c r="V825" s="988">
        <v>4533</v>
      </c>
      <c r="W825" s="897">
        <v>1029</v>
      </c>
      <c r="X825" s="897">
        <v>2063</v>
      </c>
      <c r="Y825" s="897">
        <v>3038</v>
      </c>
      <c r="Z825" s="305">
        <f t="shared" si="2339"/>
        <v>4194</v>
      </c>
      <c r="AA825" s="988">
        <v>4194</v>
      </c>
      <c r="AB825" s="897">
        <v>583</v>
      </c>
      <c r="AC825" s="897">
        <v>1442</v>
      </c>
      <c r="AD825" s="897">
        <v>2388</v>
      </c>
      <c r="AE825" s="305">
        <f t="shared" si="2340"/>
        <v>3466</v>
      </c>
      <c r="AF825" s="988">
        <v>3466</v>
      </c>
      <c r="AG825" s="897">
        <v>628</v>
      </c>
      <c r="AH825" s="897">
        <v>1243</v>
      </c>
      <c r="AI825" s="897">
        <v>1847</v>
      </c>
      <c r="AJ825" s="305">
        <f t="shared" si="2341"/>
        <v>2570</v>
      </c>
      <c r="AK825" s="988">
        <v>2570</v>
      </c>
      <c r="AL825" s="897">
        <v>555</v>
      </c>
      <c r="AM825" s="897">
        <v>1054</v>
      </c>
      <c r="AN825" s="897">
        <v>1676</v>
      </c>
      <c r="AO825" s="92">
        <f t="shared" si="2342"/>
        <v>2235</v>
      </c>
      <c r="AP825" s="988">
        <v>2235</v>
      </c>
      <c r="AQ825" s="897">
        <v>737</v>
      </c>
      <c r="AR825" s="897">
        <v>1390</v>
      </c>
      <c r="AS825" s="897">
        <v>1965</v>
      </c>
      <c r="AT825" s="92">
        <f t="shared" si="2343"/>
        <v>2284</v>
      </c>
      <c r="AU825" s="988">
        <v>2284</v>
      </c>
      <c r="AV825" s="897">
        <v>104</v>
      </c>
      <c r="AW825" s="897">
        <v>259</v>
      </c>
      <c r="AX825" s="897">
        <v>526</v>
      </c>
      <c r="AY825" s="92">
        <f t="shared" si="2344"/>
        <v>728</v>
      </c>
      <c r="AZ825" s="988">
        <v>728</v>
      </c>
      <c r="BA825" s="897">
        <v>646</v>
      </c>
      <c r="BB825" s="897">
        <v>992</v>
      </c>
      <c r="BC825" s="897">
        <v>1384</v>
      </c>
      <c r="BD825" s="92">
        <f t="shared" si="2345"/>
        <v>1641</v>
      </c>
      <c r="BE825" s="988">
        <v>1641</v>
      </c>
      <c r="BF825" s="897">
        <v>538</v>
      </c>
      <c r="BG825" s="897">
        <v>1002</v>
      </c>
      <c r="BH825" s="898">
        <v>1260</v>
      </c>
      <c r="BI825" s="92">
        <f t="shared" si="2346"/>
        <v>0</v>
      </c>
      <c r="BJ825" s="989"/>
      <c r="BK825" s="92"/>
      <c r="BL825" s="92"/>
      <c r="BM825" s="92"/>
      <c r="BN825" s="92">
        <f t="shared" si="2347"/>
        <v>0</v>
      </c>
      <c r="BO825" s="989"/>
      <c r="BP825" s="989"/>
      <c r="BQ825" s="989"/>
      <c r="BR825" s="989"/>
      <c r="BS825" s="305"/>
    </row>
    <row r="826" spans="1:71" s="300" customFormat="1" ht="15" hidden="1" outlineLevel="1">
      <c r="A826" s="304" t="s">
        <v>134</v>
      </c>
      <c r="B826" s="166"/>
      <c r="C826" s="988">
        <v>1764</v>
      </c>
      <c r="D826" s="988">
        <v>1076</v>
      </c>
      <c r="E826" s="988">
        <v>634</v>
      </c>
      <c r="F826" s="988">
        <v>1064</v>
      </c>
      <c r="G826" s="988">
        <v>1020</v>
      </c>
      <c r="H826" s="897">
        <v>324</v>
      </c>
      <c r="I826" s="897">
        <v>726</v>
      </c>
      <c r="J826" s="897">
        <v>868</v>
      </c>
      <c r="K826" s="305">
        <f t="shared" si="2336"/>
        <v>1106</v>
      </c>
      <c r="L826" s="988">
        <v>1106</v>
      </c>
      <c r="M826" s="897">
        <v>114</v>
      </c>
      <c r="N826" s="897">
        <v>357</v>
      </c>
      <c r="O826" s="897">
        <v>305</v>
      </c>
      <c r="P826" s="305">
        <f t="shared" si="2337"/>
        <v>538</v>
      </c>
      <c r="Q826" s="988">
        <v>538</v>
      </c>
      <c r="R826" s="897">
        <v>79</v>
      </c>
      <c r="S826" s="897">
        <v>150</v>
      </c>
      <c r="T826" s="897">
        <v>403</v>
      </c>
      <c r="U826" s="305">
        <f t="shared" si="2338"/>
        <v>501</v>
      </c>
      <c r="V826" s="988">
        <v>501</v>
      </c>
      <c r="W826" s="897">
        <v>223</v>
      </c>
      <c r="X826" s="897">
        <v>305</v>
      </c>
      <c r="Y826" s="897">
        <v>477</v>
      </c>
      <c r="Z826" s="305">
        <f t="shared" si="2339"/>
        <v>600</v>
      </c>
      <c r="AA826" s="988">
        <v>600</v>
      </c>
      <c r="AB826" s="897">
        <v>46</v>
      </c>
      <c r="AC826" s="897">
        <v>315</v>
      </c>
      <c r="AD826" s="897">
        <v>378</v>
      </c>
      <c r="AE826" s="305">
        <f t="shared" si="2340"/>
        <v>529</v>
      </c>
      <c r="AF826" s="988">
        <v>529</v>
      </c>
      <c r="AG826" s="897">
        <v>104</v>
      </c>
      <c r="AH826" s="897">
        <v>294</v>
      </c>
      <c r="AI826" s="897">
        <v>451</v>
      </c>
      <c r="AJ826" s="305">
        <f t="shared" si="2341"/>
        <v>695</v>
      </c>
      <c r="AK826" s="988">
        <v>695</v>
      </c>
      <c r="AL826" s="897">
        <v>118</v>
      </c>
      <c r="AM826" s="897">
        <v>156</v>
      </c>
      <c r="AN826" s="897">
        <v>278</v>
      </c>
      <c r="AO826" s="92">
        <f t="shared" si="2342"/>
        <v>626</v>
      </c>
      <c r="AP826" s="988">
        <v>626</v>
      </c>
      <c r="AQ826" s="897">
        <v>134</v>
      </c>
      <c r="AR826" s="897">
        <v>480</v>
      </c>
      <c r="AS826" s="897">
        <v>747</v>
      </c>
      <c r="AT826" s="92">
        <f t="shared" si="2343"/>
        <v>860</v>
      </c>
      <c r="AU826" s="988">
        <v>860</v>
      </c>
      <c r="AV826" s="897">
        <v>3</v>
      </c>
      <c r="AW826" s="897">
        <v>60</v>
      </c>
      <c r="AX826" s="897">
        <v>92</v>
      </c>
      <c r="AY826" s="92">
        <f t="shared" si="2344"/>
        <v>163</v>
      </c>
      <c r="AZ826" s="988">
        <v>163</v>
      </c>
      <c r="BA826" s="897">
        <v>22</v>
      </c>
      <c r="BB826" s="897">
        <v>36</v>
      </c>
      <c r="BC826" s="897">
        <v>66</v>
      </c>
      <c r="BD826" s="92">
        <f t="shared" si="2345"/>
        <v>81</v>
      </c>
      <c r="BE826" s="988">
        <v>81</v>
      </c>
      <c r="BF826" s="897">
        <v>7</v>
      </c>
      <c r="BG826" s="897">
        <v>10</v>
      </c>
      <c r="BH826" s="898">
        <v>74</v>
      </c>
      <c r="BI826" s="92">
        <f t="shared" si="2346"/>
        <v>0</v>
      </c>
      <c r="BJ826" s="989"/>
      <c r="BK826" s="92"/>
      <c r="BL826" s="92"/>
      <c r="BM826" s="92"/>
      <c r="BN826" s="92">
        <f t="shared" si="2347"/>
        <v>0</v>
      </c>
      <c r="BO826" s="989"/>
      <c r="BP826" s="989"/>
      <c r="BQ826" s="989"/>
      <c r="BR826" s="989"/>
      <c r="BS826" s="305"/>
    </row>
    <row r="827" spans="1:71" s="300" customFormat="1" ht="15" hidden="1" outlineLevel="1">
      <c r="A827" s="304" t="s">
        <v>135</v>
      </c>
      <c r="B827" s="166"/>
      <c r="C827" s="988">
        <v>117</v>
      </c>
      <c r="D827" s="988">
        <v>137</v>
      </c>
      <c r="E827" s="988">
        <v>123</v>
      </c>
      <c r="F827" s="988">
        <v>128</v>
      </c>
      <c r="G827" s="988">
        <v>275</v>
      </c>
      <c r="H827" s="897">
        <v>50</v>
      </c>
      <c r="I827" s="897">
        <v>107</v>
      </c>
      <c r="J827" s="897">
        <v>158</v>
      </c>
      <c r="K827" s="305">
        <f t="shared" si="2336"/>
        <v>191</v>
      </c>
      <c r="L827" s="988">
        <v>191</v>
      </c>
      <c r="M827" s="897">
        <v>60</v>
      </c>
      <c r="N827" s="897">
        <v>177</v>
      </c>
      <c r="O827" s="897">
        <v>254</v>
      </c>
      <c r="P827" s="305">
        <f t="shared" si="2337"/>
        <v>293</v>
      </c>
      <c r="Q827" s="988">
        <v>293</v>
      </c>
      <c r="R827" s="897">
        <v>43</v>
      </c>
      <c r="S827" s="897">
        <v>168</v>
      </c>
      <c r="T827" s="897">
        <v>281</v>
      </c>
      <c r="U827" s="305">
        <f t="shared" si="2338"/>
        <v>421</v>
      </c>
      <c r="V827" s="988">
        <v>421</v>
      </c>
      <c r="W827" s="897">
        <v>174</v>
      </c>
      <c r="X827" s="897">
        <v>337</v>
      </c>
      <c r="Y827" s="897">
        <v>458</v>
      </c>
      <c r="Z827" s="305">
        <f t="shared" si="2339"/>
        <v>642</v>
      </c>
      <c r="AA827" s="988">
        <v>642</v>
      </c>
      <c r="AB827" s="897">
        <v>122</v>
      </c>
      <c r="AC827" s="897">
        <v>235</v>
      </c>
      <c r="AD827" s="897">
        <v>370</v>
      </c>
      <c r="AE827" s="305">
        <f t="shared" si="2340"/>
        <v>488</v>
      </c>
      <c r="AF827" s="988">
        <v>488</v>
      </c>
      <c r="AG827" s="897">
        <v>68</v>
      </c>
      <c r="AH827" s="897">
        <v>138</v>
      </c>
      <c r="AI827" s="897">
        <v>203</v>
      </c>
      <c r="AJ827" s="305">
        <f t="shared" si="2341"/>
        <v>254</v>
      </c>
      <c r="AK827" s="988">
        <v>254</v>
      </c>
      <c r="AL827" s="897">
        <v>61</v>
      </c>
      <c r="AM827" s="897">
        <v>81</v>
      </c>
      <c r="AN827" s="897">
        <v>158</v>
      </c>
      <c r="AO827" s="92">
        <f t="shared" si="2342"/>
        <v>209</v>
      </c>
      <c r="AP827" s="988">
        <v>209</v>
      </c>
      <c r="AQ827" s="897">
        <v>109</v>
      </c>
      <c r="AR827" s="897">
        <v>243</v>
      </c>
      <c r="AS827" s="897">
        <v>421</v>
      </c>
      <c r="AT827" s="92">
        <f t="shared" si="2343"/>
        <v>550</v>
      </c>
      <c r="AU827" s="988">
        <v>550</v>
      </c>
      <c r="AV827" s="897">
        <v>49</v>
      </c>
      <c r="AW827" s="897">
        <v>110</v>
      </c>
      <c r="AX827" s="897">
        <v>144</v>
      </c>
      <c r="AY827" s="92">
        <f t="shared" si="2344"/>
        <v>167</v>
      </c>
      <c r="AZ827" s="988">
        <v>167</v>
      </c>
      <c r="BA827" s="897">
        <v>25</v>
      </c>
      <c r="BB827" s="897">
        <v>53</v>
      </c>
      <c r="BC827" s="897">
        <v>76</v>
      </c>
      <c r="BD827" s="92">
        <f t="shared" si="2345"/>
        <v>152</v>
      </c>
      <c r="BE827" s="988">
        <v>152</v>
      </c>
      <c r="BF827" s="897">
        <v>6</v>
      </c>
      <c r="BG827" s="897">
        <v>19</v>
      </c>
      <c r="BH827" s="898">
        <v>35</v>
      </c>
      <c r="BI827" s="92">
        <f t="shared" si="2346"/>
        <v>0</v>
      </c>
      <c r="BJ827" s="989"/>
      <c r="BK827" s="92"/>
      <c r="BL827" s="92"/>
      <c r="BM827" s="92"/>
      <c r="BN827" s="92">
        <f t="shared" si="2347"/>
        <v>0</v>
      </c>
      <c r="BO827" s="989"/>
      <c r="BP827" s="989"/>
      <c r="BQ827" s="989"/>
      <c r="BR827" s="989"/>
      <c r="BS827" s="305"/>
    </row>
    <row r="828" spans="1:71" s="300" customFormat="1" ht="15" hidden="1" outlineLevel="1">
      <c r="A828" s="304" t="s">
        <v>137</v>
      </c>
      <c r="B828" s="166"/>
      <c r="C828" s="988">
        <v>-29573</v>
      </c>
      <c r="D828" s="988">
        <v>-25745</v>
      </c>
      <c r="E828" s="988">
        <v>-27896</v>
      </c>
      <c r="F828" s="988">
        <v>-22658</v>
      </c>
      <c r="G828" s="988">
        <v>-24087</v>
      </c>
      <c r="H828" s="897">
        <v>-6252</v>
      </c>
      <c r="I828" s="897">
        <v>-15802</v>
      </c>
      <c r="J828" s="897">
        <v>-30650</v>
      </c>
      <c r="K828" s="305">
        <f t="shared" si="2336"/>
        <v>-38759</v>
      </c>
      <c r="L828" s="988">
        <v>-38759</v>
      </c>
      <c r="M828" s="897">
        <v>-9210</v>
      </c>
      <c r="N828" s="897">
        <v>-16482</v>
      </c>
      <c r="O828" s="897">
        <v>-22928</v>
      </c>
      <c r="P828" s="305">
        <f t="shared" si="2337"/>
        <v>-30758</v>
      </c>
      <c r="Q828" s="988">
        <v>-30758</v>
      </c>
      <c r="R828" s="897">
        <v>-5401</v>
      </c>
      <c r="S828" s="897">
        <v>-12947</v>
      </c>
      <c r="T828" s="897">
        <v>-22282</v>
      </c>
      <c r="U828" s="305">
        <f t="shared" si="2338"/>
        <v>-27990</v>
      </c>
      <c r="V828" s="988">
        <v>-27990</v>
      </c>
      <c r="W828" s="897">
        <v>-8800</v>
      </c>
      <c r="X828" s="897">
        <v>-17214</v>
      </c>
      <c r="Y828" s="897">
        <v>-23935</v>
      </c>
      <c r="Z828" s="305">
        <f t="shared" si="2339"/>
        <v>-31145</v>
      </c>
      <c r="AA828" s="988">
        <v>-31145</v>
      </c>
      <c r="AB828" s="897">
        <v>-9789</v>
      </c>
      <c r="AC828" s="897">
        <v>-20401</v>
      </c>
      <c r="AD828" s="897">
        <v>-29049</v>
      </c>
      <c r="AE828" s="305">
        <f t="shared" si="2340"/>
        <v>-36960</v>
      </c>
      <c r="AF828" s="988">
        <v>-36960</v>
      </c>
      <c r="AG828" s="897">
        <v>-9056</v>
      </c>
      <c r="AH828" s="897">
        <v>-17436</v>
      </c>
      <c r="AI828" s="897">
        <v>-23536</v>
      </c>
      <c r="AJ828" s="305">
        <f t="shared" si="2341"/>
        <v>-31317</v>
      </c>
      <c r="AK828" s="988">
        <v>-31317</v>
      </c>
      <c r="AL828" s="897">
        <v>-14667</v>
      </c>
      <c r="AM828" s="897">
        <v>-24214</v>
      </c>
      <c r="AN828" s="897">
        <v>-31743</v>
      </c>
      <c r="AO828" s="92">
        <f t="shared" si="2342"/>
        <v>-38121</v>
      </c>
      <c r="AP828" s="988">
        <v>-38121</v>
      </c>
      <c r="AQ828" s="897">
        <v>-7968</v>
      </c>
      <c r="AR828" s="897">
        <v>-16733</v>
      </c>
      <c r="AS828" s="897">
        <v>-22682</v>
      </c>
      <c r="AT828" s="92">
        <f t="shared" si="2343"/>
        <v>-33857</v>
      </c>
      <c r="AU828" s="988">
        <v>-33857</v>
      </c>
      <c r="AV828" s="897">
        <v>-13220</v>
      </c>
      <c r="AW828" s="897">
        <v>-22907</v>
      </c>
      <c r="AX828" s="897">
        <v>-30103</v>
      </c>
      <c r="AY828" s="92">
        <f t="shared" si="2344"/>
        <v>-36920</v>
      </c>
      <c r="AZ828" s="988">
        <v>-36920</v>
      </c>
      <c r="BA828" s="897">
        <v>-8424</v>
      </c>
      <c r="BB828" s="897">
        <v>-15875</v>
      </c>
      <c r="BC828" s="897">
        <v>-23708</v>
      </c>
      <c r="BD828" s="92">
        <f t="shared" si="2345"/>
        <v>-29431</v>
      </c>
      <c r="BE828" s="988">
        <v>-29431</v>
      </c>
      <c r="BF828" s="897">
        <v>-9592</v>
      </c>
      <c r="BG828" s="897">
        <v>-20376</v>
      </c>
      <c r="BH828" s="898">
        <v>-33023</v>
      </c>
      <c r="BI828" s="92">
        <f t="shared" si="2346"/>
        <v>0</v>
      </c>
      <c r="BJ828" s="989"/>
      <c r="BK828" s="92"/>
      <c r="BL828" s="92"/>
      <c r="BM828" s="92"/>
      <c r="BN828" s="92">
        <f t="shared" si="2347"/>
        <v>0</v>
      </c>
      <c r="BO828" s="989"/>
      <c r="BP828" s="989"/>
      <c r="BQ828" s="989"/>
      <c r="BR828" s="989"/>
      <c r="BS828" s="305"/>
    </row>
    <row r="829" spans="1:71" s="300" customFormat="1" ht="15" hidden="1" outlineLevel="1">
      <c r="A829" s="304" t="s">
        <v>138</v>
      </c>
      <c r="B829" s="166"/>
      <c r="C829" s="988">
        <v>-8496</v>
      </c>
      <c r="D829" s="988">
        <v>-3564</v>
      </c>
      <c r="E829" s="988">
        <v>-1824</v>
      </c>
      <c r="F829" s="988">
        <v>-671</v>
      </c>
      <c r="G829" s="988">
        <v>-3677</v>
      </c>
      <c r="H829" s="897">
        <v>-1330</v>
      </c>
      <c r="I829" s="897">
        <v>-2668</v>
      </c>
      <c r="J829" s="897">
        <v>-4208</v>
      </c>
      <c r="K829" s="305">
        <f t="shared" si="2336"/>
        <v>-5443</v>
      </c>
      <c r="L829" s="988">
        <v>-5443</v>
      </c>
      <c r="M829" s="897">
        <v>-1172</v>
      </c>
      <c r="N829" s="897">
        <v>-1920</v>
      </c>
      <c r="O829" s="897">
        <v>-3238</v>
      </c>
      <c r="P829" s="305">
        <f t="shared" si="2337"/>
        <v>-4960</v>
      </c>
      <c r="Q829" s="988">
        <v>-4960</v>
      </c>
      <c r="R829" s="897">
        <v>-1733</v>
      </c>
      <c r="S829" s="897">
        <v>-2672</v>
      </c>
      <c r="T829" s="897">
        <v>-4113</v>
      </c>
      <c r="U829" s="305">
        <f t="shared" si="2338"/>
        <v>-5950</v>
      </c>
      <c r="V829" s="988">
        <v>-5950</v>
      </c>
      <c r="W829" s="897">
        <v>-2383</v>
      </c>
      <c r="X829" s="897">
        <v>-3473</v>
      </c>
      <c r="Y829" s="897">
        <v>-5296</v>
      </c>
      <c r="Z829" s="305">
        <f t="shared" si="2339"/>
        <v>-6585</v>
      </c>
      <c r="AA829" s="988">
        <v>-6585</v>
      </c>
      <c r="AB829" s="897">
        <v>-1535</v>
      </c>
      <c r="AC829" s="897">
        <v>-3901</v>
      </c>
      <c r="AD829" s="897">
        <v>-4791</v>
      </c>
      <c r="AE829" s="305">
        <f t="shared" si="2340"/>
        <v>-5936</v>
      </c>
      <c r="AF829" s="988">
        <v>-5936</v>
      </c>
      <c r="AG829" s="897">
        <v>-871</v>
      </c>
      <c r="AH829" s="897">
        <v>-4189</v>
      </c>
      <c r="AI829" s="897">
        <v>-6080</v>
      </c>
      <c r="AJ829" s="305">
        <f t="shared" si="2341"/>
        <v>-7176</v>
      </c>
      <c r="AK829" s="988">
        <v>-7176</v>
      </c>
      <c r="AL829" s="897">
        <v>-1619</v>
      </c>
      <c r="AM829" s="897">
        <v>-2907</v>
      </c>
      <c r="AN829" s="897">
        <v>-3882</v>
      </c>
      <c r="AO829" s="92">
        <f t="shared" si="2342"/>
        <v>-4648</v>
      </c>
      <c r="AP829" s="988">
        <v>-4648</v>
      </c>
      <c r="AQ829" s="897">
        <v>-539</v>
      </c>
      <c r="AR829" s="897">
        <v>-1322</v>
      </c>
      <c r="AS829" s="897">
        <v>-1790</v>
      </c>
      <c r="AT829" s="92">
        <f t="shared" si="2343"/>
        <v>-6409</v>
      </c>
      <c r="AU829" s="988">
        <v>-6409</v>
      </c>
      <c r="AV829" s="897">
        <v>-3624</v>
      </c>
      <c r="AW829" s="897">
        <v>-6028</v>
      </c>
      <c r="AX829" s="897">
        <v>-7613</v>
      </c>
      <c r="AY829" s="92">
        <f t="shared" si="2344"/>
        <v>-9294</v>
      </c>
      <c r="AZ829" s="988">
        <v>-9294</v>
      </c>
      <c r="BA829" s="897">
        <v>-1187</v>
      </c>
      <c r="BB829" s="897">
        <v>-1717</v>
      </c>
      <c r="BC829" s="897">
        <v>-2316</v>
      </c>
      <c r="BD829" s="92">
        <f t="shared" si="2345"/>
        <v>-2935</v>
      </c>
      <c r="BE829" s="988">
        <v>-2935</v>
      </c>
      <c r="BF829" s="897">
        <v>-430</v>
      </c>
      <c r="BG829" s="897">
        <v>-1257</v>
      </c>
      <c r="BH829" s="898">
        <v>-1631</v>
      </c>
      <c r="BI829" s="92">
        <f t="shared" si="2346"/>
        <v>0</v>
      </c>
      <c r="BJ829" s="989"/>
      <c r="BK829" s="92"/>
      <c r="BL829" s="92"/>
      <c r="BM829" s="92"/>
      <c r="BN829" s="92">
        <f t="shared" si="2347"/>
        <v>0</v>
      </c>
      <c r="BO829" s="989"/>
      <c r="BP829" s="989"/>
      <c r="BQ829" s="989"/>
      <c r="BR829" s="989"/>
      <c r="BS829" s="305"/>
    </row>
    <row r="830" spans="1:71" s="300" customFormat="1" ht="15" hidden="1" outlineLevel="1">
      <c r="A830" s="304" t="s">
        <v>139</v>
      </c>
      <c r="B830" s="166"/>
      <c r="C830" s="988">
        <v>-784</v>
      </c>
      <c r="D830" s="988">
        <v>-1342</v>
      </c>
      <c r="E830" s="988">
        <v>-1696</v>
      </c>
      <c r="F830" s="988">
        <v>-1524</v>
      </c>
      <c r="G830" s="988">
        <v>-1312</v>
      </c>
      <c r="H830" s="897">
        <v>-277</v>
      </c>
      <c r="I830" s="897">
        <v>-653</v>
      </c>
      <c r="J830" s="897">
        <v>-892</v>
      </c>
      <c r="K830" s="305">
        <f t="shared" si="2336"/>
        <v>-1398</v>
      </c>
      <c r="L830" s="988">
        <v>-1398</v>
      </c>
      <c r="M830" s="897">
        <v>-365</v>
      </c>
      <c r="N830" s="897">
        <v>-563</v>
      </c>
      <c r="O830" s="897">
        <v>-930</v>
      </c>
      <c r="P830" s="305">
        <f t="shared" si="2337"/>
        <v>-1343</v>
      </c>
      <c r="Q830" s="988">
        <v>-1343</v>
      </c>
      <c r="R830" s="897">
        <v>-270</v>
      </c>
      <c r="S830" s="897">
        <v>-703</v>
      </c>
      <c r="T830" s="897">
        <v>-1128</v>
      </c>
      <c r="U830" s="305">
        <f t="shared" si="2338"/>
        <v>-1450</v>
      </c>
      <c r="V830" s="988">
        <v>-1450</v>
      </c>
      <c r="W830" s="897">
        <v>-268</v>
      </c>
      <c r="X830" s="897">
        <v>-578</v>
      </c>
      <c r="Y830" s="897">
        <v>-1082</v>
      </c>
      <c r="Z830" s="305">
        <f t="shared" si="2339"/>
        <v>-1440</v>
      </c>
      <c r="AA830" s="988">
        <v>-1440</v>
      </c>
      <c r="AB830" s="897">
        <v>-415</v>
      </c>
      <c r="AC830" s="897">
        <v>-873</v>
      </c>
      <c r="AD830" s="897">
        <v>-1317</v>
      </c>
      <c r="AE830" s="305">
        <f t="shared" si="2340"/>
        <v>-1679</v>
      </c>
      <c r="AF830" s="988">
        <v>-1679</v>
      </c>
      <c r="AG830" s="897">
        <v>-282</v>
      </c>
      <c r="AH830" s="897">
        <v>-672</v>
      </c>
      <c r="AI830" s="897">
        <v>-989</v>
      </c>
      <c r="AJ830" s="305">
        <f t="shared" si="2341"/>
        <v>-1332</v>
      </c>
      <c r="AK830" s="988">
        <v>-1332</v>
      </c>
      <c r="AL830" s="897">
        <v>-357</v>
      </c>
      <c r="AM830" s="897">
        <v>-513</v>
      </c>
      <c r="AN830" s="897">
        <v>-796</v>
      </c>
      <c r="AO830" s="92">
        <f t="shared" si="2342"/>
        <v>-1265</v>
      </c>
      <c r="AP830" s="988">
        <v>-1265</v>
      </c>
      <c r="AQ830" s="897">
        <v>-322</v>
      </c>
      <c r="AR830" s="897">
        <v>-576</v>
      </c>
      <c r="AS830" s="897">
        <v>-927</v>
      </c>
      <c r="AT830" s="92">
        <f t="shared" si="2343"/>
        <v>-1766</v>
      </c>
      <c r="AU830" s="988">
        <v>-1766</v>
      </c>
      <c r="AV830" s="897">
        <v>-216</v>
      </c>
      <c r="AW830" s="897">
        <v>-590</v>
      </c>
      <c r="AX830" s="897">
        <v>-860</v>
      </c>
      <c r="AY830" s="92">
        <f t="shared" si="2344"/>
        <v>-1258</v>
      </c>
      <c r="AZ830" s="988">
        <v>-1258</v>
      </c>
      <c r="BA830" s="897">
        <v>-226</v>
      </c>
      <c r="BB830" s="897">
        <v>-424</v>
      </c>
      <c r="BC830" s="897">
        <v>-639</v>
      </c>
      <c r="BD830" s="92">
        <f t="shared" si="2345"/>
        <v>-890</v>
      </c>
      <c r="BE830" s="988">
        <v>-890</v>
      </c>
      <c r="BF830" s="897">
        <v>-237</v>
      </c>
      <c r="BG830" s="897">
        <v>-560</v>
      </c>
      <c r="BH830" s="898">
        <v>-915</v>
      </c>
      <c r="BI830" s="92">
        <f t="shared" si="2346"/>
        <v>0</v>
      </c>
      <c r="BJ830" s="989"/>
      <c r="BK830" s="92"/>
      <c r="BL830" s="92"/>
      <c r="BM830" s="92"/>
      <c r="BN830" s="92">
        <f t="shared" si="2347"/>
        <v>0</v>
      </c>
      <c r="BO830" s="989"/>
      <c r="BP830" s="989"/>
      <c r="BQ830" s="989"/>
      <c r="BR830" s="989"/>
      <c r="BS830" s="305"/>
    </row>
    <row r="831" spans="1:71" s="300" customFormat="1" ht="15" hidden="1" outlineLevel="1">
      <c r="A831" s="304" t="s">
        <v>140</v>
      </c>
      <c r="B831" s="166"/>
      <c r="C831" s="988">
        <v>-26</v>
      </c>
      <c r="D831" s="988">
        <v>-120</v>
      </c>
      <c r="E831" s="988">
        <v>-1241</v>
      </c>
      <c r="F831" s="988">
        <v>-525</v>
      </c>
      <c r="G831" s="988">
        <v>-538</v>
      </c>
      <c r="H831" s="897">
        <v>-2</v>
      </c>
      <c r="I831" s="897">
        <v>-109</v>
      </c>
      <c r="J831" s="897">
        <v>-218</v>
      </c>
      <c r="K831" s="305">
        <f t="shared" si="2336"/>
        <v>-501</v>
      </c>
      <c r="L831" s="988">
        <v>-501</v>
      </c>
      <c r="M831" s="897">
        <v>-202</v>
      </c>
      <c r="N831" s="897">
        <v>-509</v>
      </c>
      <c r="O831" s="897">
        <v>-524</v>
      </c>
      <c r="P831" s="305">
        <f t="shared" si="2337"/>
        <v>-687</v>
      </c>
      <c r="Q831" s="988">
        <v>-687</v>
      </c>
      <c r="R831" s="897">
        <v>-44</v>
      </c>
      <c r="S831" s="897">
        <v>-264</v>
      </c>
      <c r="T831" s="897">
        <v>-460</v>
      </c>
      <c r="U831" s="305">
        <f t="shared" si="2338"/>
        <v>-646</v>
      </c>
      <c r="V831" s="988">
        <v>-646</v>
      </c>
      <c r="W831" s="897">
        <v>-86</v>
      </c>
      <c r="X831" s="897">
        <v>-148</v>
      </c>
      <c r="Y831" s="897">
        <v>-311</v>
      </c>
      <c r="Z831" s="305">
        <f t="shared" si="2339"/>
        <v>-646</v>
      </c>
      <c r="AA831" s="988">
        <v>-646</v>
      </c>
      <c r="AB831" s="897">
        <v>-192</v>
      </c>
      <c r="AC831" s="897">
        <v>-316</v>
      </c>
      <c r="AD831" s="897">
        <v>-435</v>
      </c>
      <c r="AE831" s="305">
        <f t="shared" si="2340"/>
        <v>-664</v>
      </c>
      <c r="AF831" s="988">
        <v>-664</v>
      </c>
      <c r="AG831" s="897">
        <v>-114</v>
      </c>
      <c r="AH831" s="897">
        <v>-311</v>
      </c>
      <c r="AI831" s="897">
        <v>-475</v>
      </c>
      <c r="AJ831" s="305">
        <f t="shared" si="2341"/>
        <v>-844</v>
      </c>
      <c r="AK831" s="988">
        <v>-844</v>
      </c>
      <c r="AL831" s="897">
        <v>-142</v>
      </c>
      <c r="AM831" s="897">
        <v>-196</v>
      </c>
      <c r="AN831" s="897">
        <v>-197</v>
      </c>
      <c r="AO831" s="92">
        <f t="shared" si="2342"/>
        <v>-203</v>
      </c>
      <c r="AP831" s="988">
        <v>-203</v>
      </c>
      <c r="AQ831" s="897">
        <v>0</v>
      </c>
      <c r="AR831" s="897">
        <v>-4</v>
      </c>
      <c r="AS831" s="897">
        <v>-97</v>
      </c>
      <c r="AT831" s="92">
        <f t="shared" si="2343"/>
        <v>-221</v>
      </c>
      <c r="AU831" s="988">
        <v>-221</v>
      </c>
      <c r="AV831" s="897">
        <v>-37</v>
      </c>
      <c r="AW831" s="897">
        <v>-89</v>
      </c>
      <c r="AX831" s="897">
        <v>-104</v>
      </c>
      <c r="AY831" s="92">
        <f t="shared" si="2344"/>
        <v>-104</v>
      </c>
      <c r="AZ831" s="988">
        <v>-104</v>
      </c>
      <c r="BA831" s="897">
        <v>-41</v>
      </c>
      <c r="BB831" s="897">
        <v>-100</v>
      </c>
      <c r="BC831" s="897">
        <v>-138</v>
      </c>
      <c r="BD831" s="92">
        <f t="shared" si="2345"/>
        <v>-145</v>
      </c>
      <c r="BE831" s="988">
        <v>-145</v>
      </c>
      <c r="BF831" s="92"/>
      <c r="BG831" s="897">
        <v>-1</v>
      </c>
      <c r="BH831" s="898">
        <v>-17</v>
      </c>
      <c r="BI831" s="92">
        <f t="shared" si="2346"/>
        <v>0</v>
      </c>
      <c r="BJ831" s="989"/>
      <c r="BK831" s="92"/>
      <c r="BL831" s="92"/>
      <c r="BM831" s="92"/>
      <c r="BN831" s="92">
        <f t="shared" si="2347"/>
        <v>0</v>
      </c>
      <c r="BO831" s="989"/>
      <c r="BP831" s="989"/>
      <c r="BQ831" s="989"/>
      <c r="BR831" s="989"/>
      <c r="BS831" s="305"/>
    </row>
    <row r="832" spans="1:71" s="300" customFormat="1" ht="15" hidden="1" outlineLevel="1">
      <c r="A832" s="304" t="s">
        <v>141</v>
      </c>
      <c r="B832" s="166"/>
      <c r="C832" s="988">
        <v>-64</v>
      </c>
      <c r="D832" s="988">
        <v>-181</v>
      </c>
      <c r="E832" s="988">
        <v>-204</v>
      </c>
      <c r="F832" s="988">
        <v>-665</v>
      </c>
      <c r="G832" s="988">
        <v>-1084</v>
      </c>
      <c r="H832" s="897">
        <v>-243</v>
      </c>
      <c r="I832" s="897">
        <v>-395</v>
      </c>
      <c r="J832" s="897">
        <v>-652</v>
      </c>
      <c r="K832" s="305">
        <f t="shared" si="2336"/>
        <v>-972</v>
      </c>
      <c r="L832" s="988">
        <v>-972</v>
      </c>
      <c r="M832" s="897">
        <v>-193</v>
      </c>
      <c r="N832" s="897">
        <v>-518</v>
      </c>
      <c r="O832" s="897">
        <v>-743</v>
      </c>
      <c r="P832" s="305">
        <f t="shared" si="2337"/>
        <v>-902</v>
      </c>
      <c r="Q832" s="988">
        <v>-902</v>
      </c>
      <c r="R832" s="897">
        <v>-253</v>
      </c>
      <c r="S832" s="897">
        <v>-449</v>
      </c>
      <c r="T832" s="897">
        <v>-674</v>
      </c>
      <c r="U832" s="305">
        <f t="shared" si="2338"/>
        <v>-885</v>
      </c>
      <c r="V832" s="988">
        <v>-885</v>
      </c>
      <c r="W832" s="897">
        <v>-219</v>
      </c>
      <c r="X832" s="897">
        <v>-532</v>
      </c>
      <c r="Y832" s="897">
        <v>-700</v>
      </c>
      <c r="Z832" s="305">
        <f t="shared" si="2339"/>
        <v>-999</v>
      </c>
      <c r="AA832" s="988">
        <v>-999</v>
      </c>
      <c r="AB832" s="897">
        <v>-330</v>
      </c>
      <c r="AC832" s="897">
        <v>-535</v>
      </c>
      <c r="AD832" s="897">
        <v>-686</v>
      </c>
      <c r="AE832" s="305">
        <f t="shared" si="2340"/>
        <v>-864</v>
      </c>
      <c r="AF832" s="988">
        <v>-864</v>
      </c>
      <c r="AG832" s="897">
        <v>-89</v>
      </c>
      <c r="AH832" s="897">
        <v>-394</v>
      </c>
      <c r="AI832" s="897">
        <v>-548</v>
      </c>
      <c r="AJ832" s="305">
        <f t="shared" si="2341"/>
        <v>-666</v>
      </c>
      <c r="AK832" s="988">
        <v>-666</v>
      </c>
      <c r="AL832" s="897">
        <v>-129</v>
      </c>
      <c r="AM832" s="897">
        <v>-199</v>
      </c>
      <c r="AN832" s="897">
        <v>-299</v>
      </c>
      <c r="AO832" s="92">
        <f t="shared" si="2342"/>
        <v>-371</v>
      </c>
      <c r="AP832" s="988">
        <v>-371</v>
      </c>
      <c r="AQ832" s="897">
        <v>-603</v>
      </c>
      <c r="AR832" s="897">
        <v>-1251</v>
      </c>
      <c r="AS832" s="897">
        <v>-1470</v>
      </c>
      <c r="AT832" s="92">
        <f t="shared" si="2343"/>
        <v>-1647</v>
      </c>
      <c r="AU832" s="988">
        <v>-1647</v>
      </c>
      <c r="AV832" s="897">
        <v>-186</v>
      </c>
      <c r="AW832" s="897">
        <v>-232</v>
      </c>
      <c r="AX832" s="897">
        <v>-269</v>
      </c>
      <c r="AY832" s="92">
        <f t="shared" si="2344"/>
        <v>-295</v>
      </c>
      <c r="AZ832" s="988">
        <v>-295</v>
      </c>
      <c r="BA832" s="897">
        <v>-73</v>
      </c>
      <c r="BB832" s="897">
        <v>-140</v>
      </c>
      <c r="BC832" s="897">
        <v>-234</v>
      </c>
      <c r="BD832" s="92">
        <f t="shared" si="2345"/>
        <v>-292</v>
      </c>
      <c r="BE832" s="988">
        <v>-292</v>
      </c>
      <c r="BF832" s="897">
        <v>-40</v>
      </c>
      <c r="BG832" s="897">
        <v>-59</v>
      </c>
      <c r="BH832" s="898">
        <v>-125</v>
      </c>
      <c r="BI832" s="92">
        <f t="shared" si="2346"/>
        <v>0</v>
      </c>
      <c r="BJ832" s="989"/>
      <c r="BK832" s="92"/>
      <c r="BL832" s="92"/>
      <c r="BM832" s="92"/>
      <c r="BN832" s="92">
        <f t="shared" si="2347"/>
        <v>0</v>
      </c>
      <c r="BO832" s="989"/>
      <c r="BP832" s="989"/>
      <c r="BQ832" s="989"/>
      <c r="BR832" s="989"/>
      <c r="BS832" s="305"/>
    </row>
    <row r="833" spans="1:71" s="300" customFormat="1" ht="15" hidden="1" outlineLevel="1">
      <c r="A833" s="304" t="s">
        <v>142</v>
      </c>
      <c r="B833" s="166"/>
      <c r="C833" s="988">
        <v>5981</v>
      </c>
      <c r="D833" s="988">
        <v>-382</v>
      </c>
      <c r="E833" s="988">
        <v>2182</v>
      </c>
      <c r="F833" s="988">
        <v>-698</v>
      </c>
      <c r="G833" s="988">
        <v>-427</v>
      </c>
      <c r="H833" s="897">
        <v>189</v>
      </c>
      <c r="I833" s="897">
        <v>-60</v>
      </c>
      <c r="J833" s="897">
        <v>265</v>
      </c>
      <c r="K833" s="305">
        <f t="shared" si="2336"/>
        <v>272</v>
      </c>
      <c r="L833" s="988">
        <v>272</v>
      </c>
      <c r="M833" s="897">
        <v>-63</v>
      </c>
      <c r="N833" s="897">
        <v>-391</v>
      </c>
      <c r="O833" s="897">
        <v>-577</v>
      </c>
      <c r="P833" s="305">
        <f t="shared" si="2337"/>
        <v>385</v>
      </c>
      <c r="Q833" s="988">
        <v>385</v>
      </c>
      <c r="R833" s="897">
        <v>-1357</v>
      </c>
      <c r="S833" s="897">
        <v>-669</v>
      </c>
      <c r="T833" s="897">
        <v>94</v>
      </c>
      <c r="U833" s="305">
        <f t="shared" si="2338"/>
        <v>-2446</v>
      </c>
      <c r="V833" s="988">
        <v>-2446</v>
      </c>
      <c r="W833" s="897">
        <v>1572</v>
      </c>
      <c r="X833" s="897">
        <v>2142</v>
      </c>
      <c r="Y833" s="897">
        <v>2257</v>
      </c>
      <c r="Z833" s="305">
        <f t="shared" si="2339"/>
        <v>2610</v>
      </c>
      <c r="AA833" s="988">
        <v>2610</v>
      </c>
      <c r="AB833" s="897">
        <v>-1533</v>
      </c>
      <c r="AC833" s="897">
        <v>-512</v>
      </c>
      <c r="AD833" s="897">
        <v>-665</v>
      </c>
      <c r="AE833" s="305">
        <f t="shared" si="2340"/>
        <v>-505</v>
      </c>
      <c r="AF833" s="988">
        <v>-505</v>
      </c>
      <c r="AG833" s="897">
        <v>-552</v>
      </c>
      <c r="AH833" s="897">
        <v>-213</v>
      </c>
      <c r="AI833" s="897">
        <v>-1509</v>
      </c>
      <c r="AJ833" s="305">
        <f t="shared" si="2341"/>
        <v>-767</v>
      </c>
      <c r="AK833" s="988">
        <v>-767</v>
      </c>
      <c r="AL833" s="897">
        <v>-1953</v>
      </c>
      <c r="AM833" s="897">
        <v>-1477</v>
      </c>
      <c r="AN833" s="897">
        <v>-515</v>
      </c>
      <c r="AO833" s="92">
        <f t="shared" si="2342"/>
        <v>-3871</v>
      </c>
      <c r="AP833" s="988">
        <v>-3871</v>
      </c>
      <c r="AQ833" s="92"/>
      <c r="AR833" s="897">
        <v>1941</v>
      </c>
      <c r="AS833" s="897">
        <v>854</v>
      </c>
      <c r="AT833" s="92">
        <f t="shared" si="2343"/>
        <v>4017</v>
      </c>
      <c r="AU833" s="988">
        <v>4017</v>
      </c>
      <c r="AV833" s="92"/>
      <c r="AW833" s="897">
        <v>398</v>
      </c>
      <c r="AX833" s="897">
        <v>1094</v>
      </c>
      <c r="AY833" s="92">
        <f t="shared" si="2344"/>
        <v>792</v>
      </c>
      <c r="AZ833" s="988">
        <v>792</v>
      </c>
      <c r="BA833" s="92"/>
      <c r="BB833" s="897">
        <v>-986</v>
      </c>
      <c r="BC833" s="897">
        <v>851</v>
      </c>
      <c r="BD833" s="92">
        <f t="shared" si="2345"/>
        <v>-617</v>
      </c>
      <c r="BE833" s="988">
        <v>-617</v>
      </c>
      <c r="BF833" s="92"/>
      <c r="BG833" s="92"/>
      <c r="BH833" s="898">
        <v>-1653</v>
      </c>
      <c r="BI833" s="92">
        <f t="shared" si="2346"/>
        <v>0</v>
      </c>
      <c r="BJ833" s="989"/>
      <c r="BK833" s="92"/>
      <c r="BL833" s="92"/>
      <c r="BM833" s="92"/>
      <c r="BN833" s="92">
        <f t="shared" si="2347"/>
        <v>0</v>
      </c>
      <c r="BO833" s="989"/>
      <c r="BP833" s="989"/>
      <c r="BQ833" s="989"/>
      <c r="BR833" s="989"/>
      <c r="BS833" s="305"/>
    </row>
    <row r="834" spans="1:71" s="300" customFormat="1" ht="15" hidden="1" outlineLevel="1">
      <c r="A834" s="304" t="s">
        <v>143</v>
      </c>
      <c r="B834" s="166"/>
      <c r="C834" s="988">
        <v>-340</v>
      </c>
      <c r="D834" s="988">
        <v>-519</v>
      </c>
      <c r="E834" s="988">
        <v>-415</v>
      </c>
      <c r="F834" s="988">
        <v>58</v>
      </c>
      <c r="G834" s="988">
        <v>97</v>
      </c>
      <c r="H834" s="897">
        <v>36</v>
      </c>
      <c r="I834" s="897">
        <v>49</v>
      </c>
      <c r="J834" s="897">
        <v>58</v>
      </c>
      <c r="K834" s="305">
        <f t="shared" si="2336"/>
        <v>46</v>
      </c>
      <c r="L834" s="988">
        <v>46</v>
      </c>
      <c r="M834" s="897">
        <v>2</v>
      </c>
      <c r="N834" s="897">
        <v>-16</v>
      </c>
      <c r="O834" s="897">
        <v>-16</v>
      </c>
      <c r="P834" s="305">
        <f t="shared" si="2337"/>
        <v>-52</v>
      </c>
      <c r="Q834" s="988">
        <v>-52</v>
      </c>
      <c r="R834" s="897">
        <v>-19</v>
      </c>
      <c r="S834" s="897">
        <v>-39</v>
      </c>
      <c r="T834" s="897">
        <v>-60</v>
      </c>
      <c r="U834" s="305">
        <f t="shared" si="2338"/>
        <v>-51</v>
      </c>
      <c r="V834" s="988">
        <v>-51</v>
      </c>
      <c r="W834" s="897">
        <v>-10</v>
      </c>
      <c r="X834" s="897">
        <v>107</v>
      </c>
      <c r="Y834" s="897">
        <v>-28</v>
      </c>
      <c r="Z834" s="305">
        <f t="shared" si="2339"/>
        <v>-30</v>
      </c>
      <c r="AA834" s="988">
        <v>-30</v>
      </c>
      <c r="AB834" s="897">
        <v>-27</v>
      </c>
      <c r="AC834" s="897">
        <v>-35</v>
      </c>
      <c r="AD834" s="897">
        <v>-28</v>
      </c>
      <c r="AE834" s="305">
        <f t="shared" si="2340"/>
        <v>-98</v>
      </c>
      <c r="AF834" s="988">
        <v>-98</v>
      </c>
      <c r="AG834" s="897">
        <v>47</v>
      </c>
      <c r="AH834" s="897">
        <v>66</v>
      </c>
      <c r="AI834" s="897">
        <v>66</v>
      </c>
      <c r="AJ834" s="305">
        <f t="shared" si="2341"/>
        <v>42</v>
      </c>
      <c r="AK834" s="988">
        <v>42</v>
      </c>
      <c r="AL834" s="897">
        <v>37</v>
      </c>
      <c r="AM834" s="92"/>
      <c r="AN834" s="92"/>
      <c r="AO834" s="92">
        <f t="shared" si="2342"/>
        <v>0</v>
      </c>
      <c r="AP834" s="989"/>
      <c r="AQ834" s="897">
        <v>744</v>
      </c>
      <c r="AR834" s="897">
        <v>4</v>
      </c>
      <c r="AS834" s="897">
        <v>4</v>
      </c>
      <c r="AT834" s="92">
        <f t="shared" si="2343"/>
        <v>0</v>
      </c>
      <c r="AU834" s="989"/>
      <c r="AV834" s="897">
        <v>114</v>
      </c>
      <c r="AW834" s="92"/>
      <c r="AX834" s="92"/>
      <c r="AY834" s="92">
        <f t="shared" si="2344"/>
        <v>0</v>
      </c>
      <c r="AZ834" s="989"/>
      <c r="BA834" s="897">
        <v>-2675</v>
      </c>
      <c r="BB834" s="92"/>
      <c r="BC834" s="92"/>
      <c r="BD834" s="92">
        <f t="shared" si="2345"/>
        <v>0</v>
      </c>
      <c r="BE834" s="989"/>
      <c r="BF834" s="897">
        <v>966</v>
      </c>
      <c r="BG834" s="897">
        <v>64</v>
      </c>
      <c r="BH834" s="464"/>
      <c r="BI834" s="92">
        <f t="shared" si="2346"/>
        <v>0</v>
      </c>
      <c r="BJ834" s="989"/>
      <c r="BK834" s="92"/>
      <c r="BL834" s="92"/>
      <c r="BM834" s="92"/>
      <c r="BN834" s="92">
        <f t="shared" si="2347"/>
        <v>0</v>
      </c>
      <c r="BO834" s="989"/>
      <c r="BP834" s="989"/>
      <c r="BQ834" s="989"/>
      <c r="BR834" s="989"/>
      <c r="BS834" s="305"/>
    </row>
    <row r="835" spans="1:71" s="300" customFormat="1" ht="15" hidden="1" outlineLevel="1">
      <c r="A835" s="304" t="s">
        <v>144</v>
      </c>
      <c r="B835" s="166"/>
      <c r="C835" s="988">
        <v>-189</v>
      </c>
      <c r="D835" s="988">
        <v>-162</v>
      </c>
      <c r="E835" s="988">
        <v>-246</v>
      </c>
      <c r="F835" s="988">
        <v>-285</v>
      </c>
      <c r="G835" s="988">
        <v>-207</v>
      </c>
      <c r="H835" s="897">
        <v>-55</v>
      </c>
      <c r="I835" s="897">
        <v>-124</v>
      </c>
      <c r="J835" s="897">
        <v>-207</v>
      </c>
      <c r="K835" s="305">
        <f t="shared" si="2336"/>
        <v>-288</v>
      </c>
      <c r="L835" s="988">
        <v>-288</v>
      </c>
      <c r="M835" s="897">
        <v>-59</v>
      </c>
      <c r="N835" s="897">
        <v>-133</v>
      </c>
      <c r="O835" s="897">
        <v>-219</v>
      </c>
      <c r="P835" s="305">
        <f t="shared" si="2337"/>
        <v>-303</v>
      </c>
      <c r="Q835" s="988">
        <v>-303</v>
      </c>
      <c r="R835" s="897">
        <v>-52</v>
      </c>
      <c r="S835" s="897">
        <v>-120</v>
      </c>
      <c r="T835" s="897">
        <v>-190</v>
      </c>
      <c r="U835" s="305">
        <f t="shared" si="2338"/>
        <v>-313</v>
      </c>
      <c r="V835" s="988">
        <v>-313</v>
      </c>
      <c r="W835" s="897">
        <v>-74</v>
      </c>
      <c r="X835" s="897">
        <v>-146</v>
      </c>
      <c r="Y835" s="897">
        <v>-216</v>
      </c>
      <c r="Z835" s="305">
        <f t="shared" si="2339"/>
        <v>-299</v>
      </c>
      <c r="AA835" s="988">
        <v>-299</v>
      </c>
      <c r="AB835" s="897">
        <v>-62</v>
      </c>
      <c r="AC835" s="897">
        <v>-128</v>
      </c>
      <c r="AD835" s="897">
        <v>-195</v>
      </c>
      <c r="AE835" s="305">
        <f t="shared" si="2340"/>
        <v>-277</v>
      </c>
      <c r="AF835" s="988">
        <v>-277</v>
      </c>
      <c r="AG835" s="897">
        <v>-80</v>
      </c>
      <c r="AH835" s="897">
        <v>-173</v>
      </c>
      <c r="AI835" s="897">
        <v>-293</v>
      </c>
      <c r="AJ835" s="305">
        <f t="shared" si="2341"/>
        <v>-433</v>
      </c>
      <c r="AK835" s="988">
        <v>-433</v>
      </c>
      <c r="AL835" s="897">
        <v>-65</v>
      </c>
      <c r="AM835" s="897">
        <v>-166</v>
      </c>
      <c r="AN835" s="897">
        <v>-235</v>
      </c>
      <c r="AO835" s="92">
        <f t="shared" si="2342"/>
        <v>-308</v>
      </c>
      <c r="AP835" s="988">
        <v>-308</v>
      </c>
      <c r="AQ835" s="897">
        <v>-61</v>
      </c>
      <c r="AR835" s="897">
        <v>-197</v>
      </c>
      <c r="AS835" s="897">
        <v>-286</v>
      </c>
      <c r="AT835" s="92">
        <f t="shared" si="2343"/>
        <v>-345</v>
      </c>
      <c r="AU835" s="988">
        <v>-345</v>
      </c>
      <c r="AV835" s="897">
        <v>-130</v>
      </c>
      <c r="AW835" s="897">
        <v>-228</v>
      </c>
      <c r="AX835" s="897">
        <v>-352</v>
      </c>
      <c r="AY835" s="92">
        <f t="shared" si="2344"/>
        <v>-420</v>
      </c>
      <c r="AZ835" s="988">
        <v>-420</v>
      </c>
      <c r="BA835" s="897">
        <v>-79</v>
      </c>
      <c r="BB835" s="897">
        <v>-141</v>
      </c>
      <c r="BC835" s="897">
        <v>-196</v>
      </c>
      <c r="BD835" s="92">
        <f t="shared" si="2345"/>
        <v>-267</v>
      </c>
      <c r="BE835" s="988">
        <v>-267</v>
      </c>
      <c r="BF835" s="897">
        <v>-41</v>
      </c>
      <c r="BG835" s="897">
        <v>-97</v>
      </c>
      <c r="BH835" s="898">
        <v>-160</v>
      </c>
      <c r="BI835" s="92">
        <f t="shared" si="2346"/>
        <v>0</v>
      </c>
      <c r="BJ835" s="989"/>
      <c r="BK835" s="92"/>
      <c r="BL835" s="92"/>
      <c r="BM835" s="92"/>
      <c r="BN835" s="92">
        <f t="shared" si="2347"/>
        <v>0</v>
      </c>
      <c r="BO835" s="989"/>
      <c r="BP835" s="989"/>
      <c r="BQ835" s="989"/>
      <c r="BR835" s="989"/>
      <c r="BS835" s="305"/>
    </row>
    <row r="836" spans="1:71" s="300" customFormat="1" ht="15" hidden="1" outlineLevel="1">
      <c r="A836" s="304" t="s">
        <v>894</v>
      </c>
      <c r="B836" s="166"/>
      <c r="C836" s="989"/>
      <c r="D836" s="989"/>
      <c r="E836" s="989"/>
      <c r="F836" s="989"/>
      <c r="G836" s="989"/>
      <c r="H836" s="92"/>
      <c r="I836" s="92"/>
      <c r="J836" s="92"/>
      <c r="K836" s="92"/>
      <c r="L836" s="989"/>
      <c r="M836" s="92"/>
      <c r="N836" s="92"/>
      <c r="O836" s="92"/>
      <c r="P836" s="92"/>
      <c r="Q836" s="989"/>
      <c r="R836" s="92"/>
      <c r="S836" s="92"/>
      <c r="T836" s="92"/>
      <c r="U836" s="92"/>
      <c r="V836" s="989"/>
      <c r="W836" s="92"/>
      <c r="X836" s="92"/>
      <c r="Y836" s="92"/>
      <c r="Z836" s="92"/>
      <c r="AA836" s="989"/>
      <c r="AB836" s="92"/>
      <c r="AC836" s="92"/>
      <c r="AD836" s="92"/>
      <c r="AE836" s="92"/>
      <c r="AF836" s="989"/>
      <c r="AG836" s="92"/>
      <c r="AH836" s="92"/>
      <c r="AI836" s="92"/>
      <c r="AJ836" s="92"/>
      <c r="AK836" s="989"/>
      <c r="AL836" s="92"/>
      <c r="AM836" s="92"/>
      <c r="AN836" s="92"/>
      <c r="AO836" s="92"/>
      <c r="AP836" s="989"/>
      <c r="AQ836" s="92"/>
      <c r="AR836" s="92"/>
      <c r="AS836" s="92"/>
      <c r="AT836" s="92"/>
      <c r="AU836" s="989"/>
      <c r="AV836" s="92"/>
      <c r="AW836" s="92"/>
      <c r="AX836" s="92"/>
      <c r="AY836" s="92">
        <f t="shared" si="2344"/>
        <v>209</v>
      </c>
      <c r="AZ836" s="988">
        <v>209</v>
      </c>
      <c r="BA836" s="92"/>
      <c r="BB836" s="897">
        <v>19</v>
      </c>
      <c r="BC836" s="897">
        <v>19</v>
      </c>
      <c r="BD836" s="92">
        <f t="shared" si="2348" ref="BD836">BE836</f>
        <v>27</v>
      </c>
      <c r="BE836" s="988">
        <v>27</v>
      </c>
      <c r="BF836" s="897">
        <v>18</v>
      </c>
      <c r="BG836" s="897">
        <v>18</v>
      </c>
      <c r="BH836" s="898">
        <v>18</v>
      </c>
      <c r="BI836" s="92">
        <f t="shared" si="2346"/>
        <v>0</v>
      </c>
      <c r="BJ836" s="989"/>
      <c r="BK836" s="92"/>
      <c r="BL836" s="92"/>
      <c r="BM836" s="92"/>
      <c r="BN836" s="92">
        <f t="shared" si="2347"/>
        <v>0</v>
      </c>
      <c r="BO836" s="989"/>
      <c r="BP836" s="989"/>
      <c r="BQ836" s="989"/>
      <c r="BR836" s="989"/>
      <c r="BS836" s="305"/>
    </row>
    <row r="837" spans="1:71" s="300" customFormat="1" ht="15" hidden="1" outlineLevel="1">
      <c r="A837" s="304" t="s">
        <v>836</v>
      </c>
      <c r="B837" s="166"/>
      <c r="C837" s="989"/>
      <c r="D837" s="989"/>
      <c r="E837" s="989"/>
      <c r="F837" s="989"/>
      <c r="G837" s="989"/>
      <c r="H837" s="92"/>
      <c r="I837" s="92"/>
      <c r="J837" s="92"/>
      <c r="K837" s="92"/>
      <c r="L837" s="989"/>
      <c r="M837" s="92"/>
      <c r="N837" s="92"/>
      <c r="O837" s="92"/>
      <c r="P837" s="92"/>
      <c r="Q837" s="989"/>
      <c r="R837" s="92"/>
      <c r="S837" s="92"/>
      <c r="T837" s="92"/>
      <c r="U837" s="92"/>
      <c r="V837" s="989"/>
      <c r="W837" s="92"/>
      <c r="X837" s="92"/>
      <c r="Y837" s="92"/>
      <c r="Z837" s="92"/>
      <c r="AA837" s="989"/>
      <c r="AB837" s="92"/>
      <c r="AC837" s="92"/>
      <c r="AD837" s="92"/>
      <c r="AE837" s="92"/>
      <c r="AF837" s="989"/>
      <c r="AG837" s="92"/>
      <c r="AH837" s="92"/>
      <c r="AI837" s="92"/>
      <c r="AJ837" s="92"/>
      <c r="AK837" s="989"/>
      <c r="AL837" s="92"/>
      <c r="AM837" s="92"/>
      <c r="AN837" s="92"/>
      <c r="AO837" s="92"/>
      <c r="AP837" s="989"/>
      <c r="AQ837" s="92"/>
      <c r="AR837" s="92"/>
      <c r="AS837" s="92"/>
      <c r="AT837" s="92">
        <f t="shared" si="2343"/>
        <v>2058</v>
      </c>
      <c r="AU837" s="988">
        <v>2058</v>
      </c>
      <c r="AV837" s="92"/>
      <c r="AW837" s="92"/>
      <c r="AX837" s="92"/>
      <c r="AY837" s="92">
        <f t="shared" si="2344"/>
        <v>0</v>
      </c>
      <c r="AZ837" s="989"/>
      <c r="BA837" s="92"/>
      <c r="BB837" s="92"/>
      <c r="BC837" s="92"/>
      <c r="BD837" s="92">
        <f t="shared" si="2345"/>
        <v>0</v>
      </c>
      <c r="BE837" s="989"/>
      <c r="BF837" s="92"/>
      <c r="BG837" s="92"/>
      <c r="BH837" s="464"/>
      <c r="BI837" s="92">
        <f t="shared" si="2346"/>
        <v>0</v>
      </c>
      <c r="BJ837" s="989"/>
      <c r="BK837" s="92"/>
      <c r="BL837" s="92"/>
      <c r="BM837" s="92"/>
      <c r="BN837" s="92">
        <f t="shared" si="2347"/>
        <v>0</v>
      </c>
      <c r="BO837" s="989"/>
      <c r="BP837" s="989"/>
      <c r="BQ837" s="989"/>
      <c r="BR837" s="989"/>
      <c r="BS837" s="305"/>
    </row>
    <row r="838" spans="1:71" s="300" customFormat="1" ht="15" hidden="1" outlineLevel="1">
      <c r="A838" s="304" t="s">
        <v>145</v>
      </c>
      <c r="B838" s="166"/>
      <c r="C838" s="988">
        <v>12</v>
      </c>
      <c r="D838" s="988">
        <v>7</v>
      </c>
      <c r="E838" s="988">
        <v>-916</v>
      </c>
      <c r="F838" s="988">
        <v>13</v>
      </c>
      <c r="G838" s="988">
        <v>-24</v>
      </c>
      <c r="H838" s="897">
        <v>-2</v>
      </c>
      <c r="I838" s="897">
        <v>378</v>
      </c>
      <c r="J838" s="897">
        <v>378</v>
      </c>
      <c r="K838" s="305">
        <f t="shared" si="2336"/>
        <v>378</v>
      </c>
      <c r="L838" s="988">
        <v>378</v>
      </c>
      <c r="M838" s="92"/>
      <c r="N838" s="92"/>
      <c r="O838" s="92"/>
      <c r="P838" s="305">
        <f t="shared" si="2337"/>
        <v>0</v>
      </c>
      <c r="Q838" s="988">
        <v>0</v>
      </c>
      <c r="R838" s="897">
        <v>0</v>
      </c>
      <c r="S838" s="92"/>
      <c r="T838" s="92"/>
      <c r="U838" s="305">
        <f t="shared" si="2338"/>
        <v>0</v>
      </c>
      <c r="V838" s="988">
        <v>0</v>
      </c>
      <c r="W838" s="897">
        <v>-1356</v>
      </c>
      <c r="X838" s="897">
        <v>-1356</v>
      </c>
      <c r="Y838" s="897">
        <v>-1356</v>
      </c>
      <c r="Z838" s="305">
        <f t="shared" si="2339"/>
        <v>-1356</v>
      </c>
      <c r="AA838" s="988">
        <v>-1356</v>
      </c>
      <c r="AB838" s="897">
        <v>-5</v>
      </c>
      <c r="AC838" s="897">
        <v>-10</v>
      </c>
      <c r="AD838" s="897">
        <v>-10</v>
      </c>
      <c r="AE838" s="305">
        <f t="shared" si="2340"/>
        <v>-558</v>
      </c>
      <c r="AF838" s="988">
        <v>-558</v>
      </c>
      <c r="AG838" s="897">
        <v>-18</v>
      </c>
      <c r="AH838" s="897">
        <v>-18</v>
      </c>
      <c r="AI838" s="897">
        <v>-18</v>
      </c>
      <c r="AJ838" s="305">
        <f t="shared" si="2341"/>
        <v>-18</v>
      </c>
      <c r="AK838" s="988">
        <v>-18</v>
      </c>
      <c r="AL838" s="92"/>
      <c r="AM838" s="897">
        <v>1</v>
      </c>
      <c r="AN838" s="897">
        <v>1</v>
      </c>
      <c r="AO838" s="92">
        <f t="shared" si="2342"/>
        <v>1</v>
      </c>
      <c r="AP838" s="988">
        <v>1</v>
      </c>
      <c r="AQ838" s="897">
        <v>-3480</v>
      </c>
      <c r="AR838" s="897">
        <v>-3481</v>
      </c>
      <c r="AS838" s="897">
        <v>-3481</v>
      </c>
      <c r="AT838" s="92">
        <f t="shared" si="2343"/>
        <v>-3593</v>
      </c>
      <c r="AU838" s="988">
        <v>-3593</v>
      </c>
      <c r="AV838" s="92"/>
      <c r="AW838" s="92"/>
      <c r="AX838" s="92"/>
      <c r="AY838" s="92">
        <f t="shared" si="2344"/>
        <v>0</v>
      </c>
      <c r="AZ838" s="989"/>
      <c r="BA838" s="92"/>
      <c r="BB838" s="92"/>
      <c r="BC838" s="92"/>
      <c r="BD838" s="92">
        <f>BE838</f>
        <v>0</v>
      </c>
      <c r="BE838" s="989"/>
      <c r="BF838" s="92"/>
      <c r="BG838" s="92"/>
      <c r="BH838" s="464"/>
      <c r="BI838" s="92">
        <f t="shared" si="2346"/>
        <v>0</v>
      </c>
      <c r="BJ838" s="989"/>
      <c r="BK838" s="92"/>
      <c r="BL838" s="92"/>
      <c r="BM838" s="92"/>
      <c r="BN838" s="92">
        <f t="shared" si="2347"/>
        <v>0</v>
      </c>
      <c r="BO838" s="989"/>
      <c r="BP838" s="989"/>
      <c r="BQ838" s="989"/>
      <c r="BR838" s="989"/>
      <c r="BS838" s="305"/>
    </row>
    <row r="839" spans="1:71" s="51" customFormat="1" ht="15" hidden="1" outlineLevel="1">
      <c r="A839" s="87" t="s">
        <v>146</v>
      </c>
      <c r="B839" s="506"/>
      <c r="C839" s="996">
        <f t="shared" si="2349" ref="C839:AU839">SUM(C820:C838)</f>
        <v>3440</v>
      </c>
      <c r="D839" s="996">
        <f t="shared" si="2349"/>
        <v>2332</v>
      </c>
      <c r="E839" s="996">
        <f t="shared" si="2349"/>
        <v>6161</v>
      </c>
      <c r="F839" s="996">
        <f t="shared" si="2349"/>
        <v>1581</v>
      </c>
      <c r="G839" s="996">
        <f t="shared" si="2349"/>
        <v>1580</v>
      </c>
      <c r="H839" s="89">
        <f t="shared" si="2349"/>
        <v>1376</v>
      </c>
      <c r="I839" s="89">
        <f t="shared" si="2349"/>
        <v>1021</v>
      </c>
      <c r="J839" s="89">
        <f t="shared" si="2349"/>
        <v>1984</v>
      </c>
      <c r="K839" s="89">
        <f t="shared" si="2349"/>
        <v>1621</v>
      </c>
      <c r="L839" s="996">
        <f t="shared" si="2349"/>
        <v>1621</v>
      </c>
      <c r="M839" s="89">
        <f t="shared" si="2349"/>
        <v>1073</v>
      </c>
      <c r="N839" s="89">
        <f t="shared" si="2349"/>
        <v>1054</v>
      </c>
      <c r="O839" s="89">
        <f t="shared" si="2349"/>
        <v>1095</v>
      </c>
      <c r="P839" s="89">
        <f t="shared" si="2349"/>
        <v>742</v>
      </c>
      <c r="Q839" s="996">
        <f t="shared" si="2349"/>
        <v>742</v>
      </c>
      <c r="R839" s="89">
        <f t="shared" si="2349"/>
        <v>96</v>
      </c>
      <c r="S839" s="89">
        <f t="shared" si="2349"/>
        <v>176</v>
      </c>
      <c r="T839" s="89">
        <f t="shared" si="2349"/>
        <v>-658</v>
      </c>
      <c r="U839" s="89">
        <f t="shared" si="2349"/>
        <v>-2526</v>
      </c>
      <c r="V839" s="996">
        <f t="shared" si="2349"/>
        <v>-2526</v>
      </c>
      <c r="W839" s="89">
        <f t="shared" si="2349"/>
        <v>-280</v>
      </c>
      <c r="X839" s="89">
        <f t="shared" si="2349"/>
        <v>57</v>
      </c>
      <c r="Y839" s="89">
        <f t="shared" si="2349"/>
        <v>-1070</v>
      </c>
      <c r="Z839" s="89">
        <f t="shared" si="2349"/>
        <v>-1210</v>
      </c>
      <c r="AA839" s="996">
        <f t="shared" si="2349"/>
        <v>-1210</v>
      </c>
      <c r="AB839" s="89">
        <f t="shared" si="2349"/>
        <v>-1251</v>
      </c>
      <c r="AC839" s="89">
        <f t="shared" si="2349"/>
        <v>-1311</v>
      </c>
      <c r="AD839" s="89">
        <f t="shared" si="2349"/>
        <v>-2456</v>
      </c>
      <c r="AE839" s="89">
        <f t="shared" si="2349"/>
        <v>-1719</v>
      </c>
      <c r="AF839" s="996">
        <f t="shared" si="2349"/>
        <v>-1719</v>
      </c>
      <c r="AG839" s="89">
        <f t="shared" si="2349"/>
        <v>-263</v>
      </c>
      <c r="AH839" s="89">
        <f t="shared" si="2349"/>
        <v>-1142</v>
      </c>
      <c r="AI839" s="89">
        <f t="shared" si="2349"/>
        <v>-3235</v>
      </c>
      <c r="AJ839" s="89">
        <f t="shared" si="2349"/>
        <v>-2807</v>
      </c>
      <c r="AK839" s="996">
        <f t="shared" si="2349"/>
        <v>-2807</v>
      </c>
      <c r="AL839" s="89">
        <f>SUM(AL820:AL838)</f>
        <v>68</v>
      </c>
      <c r="AM839" s="89">
        <f>SUM(AM820:AM838)</f>
        <v>-958</v>
      </c>
      <c r="AN839" s="89">
        <f>SUM(AN820:AN838)</f>
        <v>-1243</v>
      </c>
      <c r="AO839" s="90">
        <f t="shared" si="2349"/>
        <v>-3441</v>
      </c>
      <c r="AP839" s="997">
        <f t="shared" si="2349"/>
        <v>-3441</v>
      </c>
      <c r="AQ839" s="89">
        <f>SUM(AQ820:AQ838)</f>
        <v>513</v>
      </c>
      <c r="AR839" s="89">
        <f>SUM(AR820:AR838)</f>
        <v>-157</v>
      </c>
      <c r="AS839" s="89">
        <f>SUM(AS820:AS838)</f>
        <v>289</v>
      </c>
      <c r="AT839" s="90">
        <f t="shared" si="2349"/>
        <v>510</v>
      </c>
      <c r="AU839" s="997">
        <f t="shared" si="2349"/>
        <v>510</v>
      </c>
      <c r="AV839" s="89">
        <f t="shared" si="2350" ref="AV839:BJ839">SUM(AV820:AV838)</f>
        <v>981</v>
      </c>
      <c r="AW839" s="89">
        <f t="shared" si="2350"/>
        <v>-138</v>
      </c>
      <c r="AX839" s="89">
        <f t="shared" si="2350"/>
        <v>-1281</v>
      </c>
      <c r="AY839" s="90">
        <f t="shared" si="2350"/>
        <v>-1728</v>
      </c>
      <c r="AZ839" s="997">
        <f t="shared" si="2350"/>
        <v>-1728</v>
      </c>
      <c r="BA839" s="89">
        <f>SUM(BA820:BA838)</f>
        <v>-796</v>
      </c>
      <c r="BB839" s="89">
        <f>SUM(BB820:BB838)</f>
        <v>-1049</v>
      </c>
      <c r="BC839" s="89">
        <f>SUM(BC820:BC838)</f>
        <v>-1894</v>
      </c>
      <c r="BD839" s="90">
        <f t="shared" si="2350"/>
        <v>-2999</v>
      </c>
      <c r="BE839" s="997">
        <f t="shared" si="2350"/>
        <v>-2999</v>
      </c>
      <c r="BF839" s="90">
        <f>SUM(BF820:BF838)</f>
        <v>-1372</v>
      </c>
      <c r="BG839" s="90">
        <f>SUM(BG820:BG838)</f>
        <v>-3896</v>
      </c>
      <c r="BH839" s="742">
        <f>SUM(BH820:BH838)</f>
        <v>-6581</v>
      </c>
      <c r="BI839" s="90">
        <f>SUM(BI820:BI838)</f>
        <v>0</v>
      </c>
      <c r="BJ839" s="997">
        <f t="shared" si="2350"/>
        <v>0</v>
      </c>
      <c r="BK839" s="90">
        <f t="shared" si="2351" ref="BK839:BR839">SUM(BK820:BK838)</f>
        <v>0</v>
      </c>
      <c r="BL839" s="90">
        <f t="shared" si="2351"/>
        <v>0</v>
      </c>
      <c r="BM839" s="90">
        <f t="shared" si="2351"/>
        <v>0</v>
      </c>
      <c r="BN839" s="90">
        <f t="shared" si="2351"/>
        <v>0</v>
      </c>
      <c r="BO839" s="997">
        <f t="shared" si="2351"/>
        <v>0</v>
      </c>
      <c r="BP839" s="997">
        <f t="shared" si="2351"/>
        <v>0</v>
      </c>
      <c r="BQ839" s="997">
        <f t="shared" si="2351"/>
        <v>0</v>
      </c>
      <c r="BR839" s="997">
        <f t="shared" si="2351"/>
        <v>0</v>
      </c>
      <c r="BS839" s="57"/>
    </row>
    <row r="840" spans="1:71" s="51" customFormat="1" ht="15" hidden="1" outlineLevel="1">
      <c r="A840" s="480"/>
      <c r="B840" s="483"/>
      <c r="C840" s="1000"/>
      <c r="D840" s="1000"/>
      <c r="E840" s="1000"/>
      <c r="F840" s="1000"/>
      <c r="G840" s="1000"/>
      <c r="H840" s="128"/>
      <c r="I840" s="128"/>
      <c r="J840" s="128"/>
      <c r="K840" s="128"/>
      <c r="L840" s="1000"/>
      <c r="M840" s="128"/>
      <c r="N840" s="128"/>
      <c r="O840" s="128"/>
      <c r="P840" s="128"/>
      <c r="Q840" s="1000"/>
      <c r="R840" s="128"/>
      <c r="S840" s="128"/>
      <c r="T840" s="128"/>
      <c r="U840" s="128"/>
      <c r="V840" s="1000"/>
      <c r="W840" s="128"/>
      <c r="X840" s="128"/>
      <c r="Y840" s="128"/>
      <c r="Z840" s="128"/>
      <c r="AA840" s="1000"/>
      <c r="AB840" s="128"/>
      <c r="AC840" s="128"/>
      <c r="AD840" s="128"/>
      <c r="AE840" s="128"/>
      <c r="AF840" s="1000"/>
      <c r="AG840" s="128"/>
      <c r="AH840" s="128"/>
      <c r="AI840" s="128"/>
      <c r="AJ840" s="128"/>
      <c r="AK840" s="1000"/>
      <c r="AL840" s="128"/>
      <c r="AM840" s="128"/>
      <c r="AN840" s="128"/>
      <c r="AO840" s="128"/>
      <c r="AP840" s="1000"/>
      <c r="AQ840" s="128"/>
      <c r="AR840" s="128"/>
      <c r="AS840" s="128"/>
      <c r="AT840" s="128"/>
      <c r="AU840" s="1000"/>
      <c r="AV840" s="128"/>
      <c r="AW840" s="128"/>
      <c r="AX840" s="128"/>
      <c r="AY840" s="128"/>
      <c r="AZ840" s="1000"/>
      <c r="BA840" s="128"/>
      <c r="BB840" s="128"/>
      <c r="BC840" s="128"/>
      <c r="BD840" s="128"/>
      <c r="BE840" s="1000"/>
      <c r="BF840" s="128"/>
      <c r="BG840" s="128"/>
      <c r="BH840" s="465"/>
      <c r="BI840" s="128"/>
      <c r="BJ840" s="1000"/>
      <c r="BK840" s="128"/>
      <c r="BL840" s="128"/>
      <c r="BM840" s="128"/>
      <c r="BN840" s="128"/>
      <c r="BO840" s="1000"/>
      <c r="BP840" s="1000"/>
      <c r="BQ840" s="1000"/>
      <c r="BR840" s="1000"/>
      <c r="BS840" s="57"/>
    </row>
    <row r="841" spans="1:71" s="51" customFormat="1" ht="15" hidden="1" outlineLevel="1">
      <c r="A841" s="109" t="s">
        <v>147</v>
      </c>
      <c r="B841" s="483"/>
      <c r="C841" s="1000"/>
      <c r="D841" s="1000"/>
      <c r="E841" s="1000"/>
      <c r="F841" s="1000"/>
      <c r="G841" s="1000"/>
      <c r="H841" s="128"/>
      <c r="I841" s="128"/>
      <c r="J841" s="128"/>
      <c r="K841" s="128"/>
      <c r="L841" s="1000"/>
      <c r="M841" s="128"/>
      <c r="N841" s="128"/>
      <c r="O841" s="128"/>
      <c r="P841" s="128"/>
      <c r="Q841" s="1000"/>
      <c r="R841" s="128"/>
      <c r="S841" s="128"/>
      <c r="T841" s="128"/>
      <c r="U841" s="128"/>
      <c r="V841" s="1000"/>
      <c r="W841" s="128"/>
      <c r="X841" s="128"/>
      <c r="Y841" s="128"/>
      <c r="Z841" s="128"/>
      <c r="AA841" s="1000"/>
      <c r="AB841" s="128"/>
      <c r="AC841" s="128"/>
      <c r="AD841" s="128"/>
      <c r="AE841" s="128"/>
      <c r="AF841" s="1000"/>
      <c r="AG841" s="128"/>
      <c r="AH841" s="128"/>
      <c r="AI841" s="128"/>
      <c r="AJ841" s="128"/>
      <c r="AK841" s="1000"/>
      <c r="AL841" s="128"/>
      <c r="AM841" s="128"/>
      <c r="AN841" s="128"/>
      <c r="AO841" s="128"/>
      <c r="AP841" s="1000"/>
      <c r="AQ841" s="128"/>
      <c r="AR841" s="128"/>
      <c r="AS841" s="128"/>
      <c r="AT841" s="128"/>
      <c r="AU841" s="1000"/>
      <c r="AV841" s="128"/>
      <c r="AW841" s="128"/>
      <c r="AX841" s="128"/>
      <c r="AY841" s="128"/>
      <c r="AZ841" s="1000"/>
      <c r="BA841" s="128"/>
      <c r="BB841" s="128"/>
      <c r="BC841" s="128"/>
      <c r="BD841" s="128"/>
      <c r="BE841" s="1000"/>
      <c r="BF841" s="128"/>
      <c r="BG841" s="128"/>
      <c r="BH841" s="465"/>
      <c r="BI841" s="128"/>
      <c r="BJ841" s="1000"/>
      <c r="BK841" s="128"/>
      <c r="BL841" s="128"/>
      <c r="BM841" s="128"/>
      <c r="BN841" s="128"/>
      <c r="BO841" s="1000"/>
      <c r="BP841" s="1000"/>
      <c r="BQ841" s="1000"/>
      <c r="BR841" s="1000"/>
      <c r="BS841" s="57"/>
    </row>
    <row r="842" spans="1:71" s="300" customFormat="1" ht="15" hidden="1" outlineLevel="1">
      <c r="A842" s="304" t="s">
        <v>148</v>
      </c>
      <c r="B842" s="166"/>
      <c r="C842" s="988">
        <v>1003</v>
      </c>
      <c r="D842" s="989"/>
      <c r="E842" s="988">
        <v>7</v>
      </c>
      <c r="F842" s="988">
        <v>493</v>
      </c>
      <c r="G842" s="988">
        <v>2271</v>
      </c>
      <c r="H842" s="92"/>
      <c r="I842" s="92"/>
      <c r="J842" s="92"/>
      <c r="K842" s="305">
        <f>L842</f>
        <v>0</v>
      </c>
      <c r="L842" s="988">
        <v>0</v>
      </c>
      <c r="M842" s="92"/>
      <c r="N842" s="92"/>
      <c r="O842" s="92"/>
      <c r="P842" s="305">
        <f>Q842</f>
        <v>0</v>
      </c>
      <c r="Q842" s="988">
        <v>0</v>
      </c>
      <c r="R842" s="92"/>
      <c r="S842" s="92"/>
      <c r="T842" s="92"/>
      <c r="U842" s="305">
        <f>V842</f>
        <v>1236</v>
      </c>
      <c r="V842" s="988">
        <v>1236</v>
      </c>
      <c r="W842" s="92"/>
      <c r="X842" s="92"/>
      <c r="Y842" s="92"/>
      <c r="Z842" s="305">
        <f>AA842</f>
        <v>0</v>
      </c>
      <c r="AA842" s="988">
        <v>0</v>
      </c>
      <c r="AB842" s="897">
        <v>498</v>
      </c>
      <c r="AC842" s="897">
        <v>498</v>
      </c>
      <c r="AD842" s="897">
        <v>498</v>
      </c>
      <c r="AE842" s="305">
        <f t="shared" si="2352" ref="AE842:AE854">AF842</f>
        <v>498</v>
      </c>
      <c r="AF842" s="988">
        <v>498</v>
      </c>
      <c r="AG842" s="897">
        <v>0</v>
      </c>
      <c r="AH842" s="897">
        <v>492</v>
      </c>
      <c r="AI842" s="897">
        <v>491</v>
      </c>
      <c r="AJ842" s="305">
        <f t="shared" si="2353" ref="AJ842:AJ854">AK842</f>
        <v>491</v>
      </c>
      <c r="AK842" s="988">
        <v>491</v>
      </c>
      <c r="AL842" s="92"/>
      <c r="AM842" s="92"/>
      <c r="AN842" s="92"/>
      <c r="AO842" s="92">
        <f t="shared" si="2354" ref="AO842:AO854">AP842</f>
        <v>1189</v>
      </c>
      <c r="AP842" s="988">
        <v>1189</v>
      </c>
      <c r="AQ842" s="92"/>
      <c r="AR842" s="92"/>
      <c r="AS842" s="92"/>
      <c r="AT842" s="92">
        <f t="shared" si="2355" ref="AT842:AT854">AU842</f>
        <v>0</v>
      </c>
      <c r="AU842" s="989"/>
      <c r="AV842" s="92"/>
      <c r="AW842" s="92"/>
      <c r="AX842" s="92"/>
      <c r="AY842" s="92">
        <f t="shared" si="2356" ref="AY842:AY854">AZ842</f>
        <v>0</v>
      </c>
      <c r="AZ842" s="989"/>
      <c r="BA842" s="897">
        <v>744</v>
      </c>
      <c r="BB842" s="897">
        <v>743</v>
      </c>
      <c r="BC842" s="897">
        <v>743</v>
      </c>
      <c r="BD842" s="92">
        <f t="shared" si="2357" ref="BD842:BD854">BE842</f>
        <v>743</v>
      </c>
      <c r="BE842" s="988">
        <v>743</v>
      </c>
      <c r="BF842" s="92"/>
      <c r="BG842" s="897">
        <v>495</v>
      </c>
      <c r="BH842" s="898">
        <v>495</v>
      </c>
      <c r="BI842" s="92">
        <f t="shared" si="2358" ref="BI842:BI854">BJ842</f>
        <v>0</v>
      </c>
      <c r="BJ842" s="989"/>
      <c r="BK842" s="92"/>
      <c r="BL842" s="92"/>
      <c r="BM842" s="92"/>
      <c r="BN842" s="92">
        <f t="shared" si="2359" ref="BN842:BN854">BO842</f>
        <v>0</v>
      </c>
      <c r="BO842" s="989"/>
      <c r="BP842" s="989"/>
      <c r="BQ842" s="989"/>
      <c r="BR842" s="989"/>
      <c r="BS842" s="305"/>
    </row>
    <row r="843" spans="1:71" s="300" customFormat="1" ht="15" hidden="1" outlineLevel="1">
      <c r="A843" s="304" t="s">
        <v>149</v>
      </c>
      <c r="B843" s="166"/>
      <c r="C843" s="988">
        <v>-752</v>
      </c>
      <c r="D843" s="988">
        <v>-2</v>
      </c>
      <c r="E843" s="988">
        <v>-7</v>
      </c>
      <c r="F843" s="988">
        <v>-352</v>
      </c>
      <c r="G843" s="988">
        <v>-2627</v>
      </c>
      <c r="H843" s="897">
        <v>-1</v>
      </c>
      <c r="I843" s="897">
        <v>-355</v>
      </c>
      <c r="J843" s="897">
        <v>-1006</v>
      </c>
      <c r="K843" s="305">
        <f>L843</f>
        <v>-1006</v>
      </c>
      <c r="L843" s="988">
        <v>-1006</v>
      </c>
      <c r="M843" s="897">
        <v>0</v>
      </c>
      <c r="N843" s="897">
        <v>-9</v>
      </c>
      <c r="O843" s="897">
        <v>-20</v>
      </c>
      <c r="P843" s="305">
        <f>Q843</f>
        <v>-20</v>
      </c>
      <c r="Q843" s="988">
        <v>-20</v>
      </c>
      <c r="R843" s="897">
        <v>-16</v>
      </c>
      <c r="S843" s="897">
        <v>-16</v>
      </c>
      <c r="T843" s="897">
        <v>-16</v>
      </c>
      <c r="U843" s="305">
        <f>V843</f>
        <v>-17</v>
      </c>
      <c r="V843" s="988">
        <v>-17</v>
      </c>
      <c r="W843" s="897">
        <v>0</v>
      </c>
      <c r="X843" s="897">
        <v>0</v>
      </c>
      <c r="Y843" s="92"/>
      <c r="Z843" s="305">
        <f>AA843</f>
        <v>0</v>
      </c>
      <c r="AA843" s="988">
        <v>0</v>
      </c>
      <c r="AB843" s="92"/>
      <c r="AC843" s="897">
        <v>-401</v>
      </c>
      <c r="AD843" s="897">
        <v>-401</v>
      </c>
      <c r="AE843" s="305">
        <f t="shared" si="2352"/>
        <v>-400</v>
      </c>
      <c r="AF843" s="988">
        <v>-400</v>
      </c>
      <c r="AG843" s="897">
        <v>0</v>
      </c>
      <c r="AH843" s="897">
        <v>-317</v>
      </c>
      <c r="AI843" s="897">
        <v>-317</v>
      </c>
      <c r="AJ843" s="305">
        <f t="shared" si="2353"/>
        <v>-317</v>
      </c>
      <c r="AK843" s="988">
        <v>-317</v>
      </c>
      <c r="AL843" s="92"/>
      <c r="AM843" s="92"/>
      <c r="AN843" s="92"/>
      <c r="AO843" s="92">
        <f t="shared" si="2354"/>
        <v>0</v>
      </c>
      <c r="AP843" s="989"/>
      <c r="AQ843" s="897">
        <v>-422</v>
      </c>
      <c r="AR843" s="897">
        <v>-422</v>
      </c>
      <c r="AS843" s="897">
        <v>-422</v>
      </c>
      <c r="AT843" s="92">
        <f t="shared" si="2355"/>
        <v>-436</v>
      </c>
      <c r="AU843" s="988">
        <v>-436</v>
      </c>
      <c r="AV843" s="92"/>
      <c r="AW843" s="92"/>
      <c r="AX843" s="92"/>
      <c r="AY843" s="92">
        <f t="shared" si="2356"/>
        <v>0</v>
      </c>
      <c r="AZ843" s="989"/>
      <c r="BA843" s="897">
        <v>-250</v>
      </c>
      <c r="BB843" s="897">
        <v>-750</v>
      </c>
      <c r="BC843" s="897">
        <v>-750</v>
      </c>
      <c r="BD843" s="92">
        <f t="shared" si="2357"/>
        <v>-750</v>
      </c>
      <c r="BE843" s="988">
        <v>-750</v>
      </c>
      <c r="BF843" s="92"/>
      <c r="BG843" s="897">
        <v>-350</v>
      </c>
      <c r="BH843" s="898">
        <v>-350</v>
      </c>
      <c r="BI843" s="92">
        <f t="shared" si="2358"/>
        <v>0</v>
      </c>
      <c r="BJ843" s="989"/>
      <c r="BK843" s="92"/>
      <c r="BL843" s="92"/>
      <c r="BM843" s="92"/>
      <c r="BN843" s="92">
        <f t="shared" si="2359"/>
        <v>0</v>
      </c>
      <c r="BO843" s="989"/>
      <c r="BP843" s="989"/>
      <c r="BQ843" s="989"/>
      <c r="BR843" s="989"/>
      <c r="BS843" s="305"/>
    </row>
    <row r="844" spans="1:71" s="300" customFormat="1" ht="15" hidden="1" outlineLevel="1">
      <c r="A844" s="304" t="s">
        <v>150</v>
      </c>
      <c r="B844" s="166"/>
      <c r="C844" s="989"/>
      <c r="D844" s="989"/>
      <c r="E844" s="989"/>
      <c r="F844" s="989"/>
      <c r="G844" s="988">
        <v>781</v>
      </c>
      <c r="H844" s="897">
        <v>725</v>
      </c>
      <c r="I844" s="897">
        <v>965</v>
      </c>
      <c r="J844" s="897">
        <v>965</v>
      </c>
      <c r="K844" s="305">
        <f>L844</f>
        <v>965</v>
      </c>
      <c r="L844" s="988">
        <v>965</v>
      </c>
      <c r="M844" s="92"/>
      <c r="N844" s="92"/>
      <c r="O844" s="92"/>
      <c r="P844" s="305">
        <f>Q844</f>
        <v>0</v>
      </c>
      <c r="Q844" s="988">
        <v>0</v>
      </c>
      <c r="R844" s="92"/>
      <c r="S844" s="92"/>
      <c r="T844" s="92"/>
      <c r="U844" s="305">
        <f>V844</f>
        <v>0</v>
      </c>
      <c r="V844" s="988">
        <v>0</v>
      </c>
      <c r="W844" s="92"/>
      <c r="X844" s="92"/>
      <c r="Y844" s="92"/>
      <c r="Z844" s="305">
        <f>AA844</f>
        <v>0</v>
      </c>
      <c r="AA844" s="988">
        <v>0</v>
      </c>
      <c r="AB844" s="897">
        <v>558</v>
      </c>
      <c r="AC844" s="897">
        <v>557</v>
      </c>
      <c r="AD844" s="897">
        <v>557</v>
      </c>
      <c r="AE844" s="305">
        <f t="shared" si="2352"/>
        <v>557</v>
      </c>
      <c r="AF844" s="988">
        <v>557</v>
      </c>
      <c r="AG844" s="897">
        <v>0</v>
      </c>
      <c r="AH844" s="92"/>
      <c r="AI844" s="897">
        <v>1122</v>
      </c>
      <c r="AJ844" s="305">
        <f t="shared" si="2353"/>
        <v>1414</v>
      </c>
      <c r="AK844" s="988">
        <v>1414</v>
      </c>
      <c r="AL844" s="92"/>
      <c r="AM844" s="92"/>
      <c r="AN844" s="92"/>
      <c r="AO844" s="92">
        <f t="shared" si="2354"/>
        <v>0</v>
      </c>
      <c r="AP844" s="989"/>
      <c r="AQ844" s="92"/>
      <c r="AR844" s="92"/>
      <c r="AS844" s="92"/>
      <c r="AT844" s="92">
        <f t="shared" si="2355"/>
        <v>0</v>
      </c>
      <c r="AU844" s="989"/>
      <c r="AV844" s="92"/>
      <c r="AW844" s="92"/>
      <c r="AX844" s="92"/>
      <c r="AY844" s="92">
        <f t="shared" si="2356"/>
        <v>0</v>
      </c>
      <c r="AZ844" s="989"/>
      <c r="BA844" s="92"/>
      <c r="BB844" s="897">
        <v>587</v>
      </c>
      <c r="BC844" s="897">
        <v>587</v>
      </c>
      <c r="BD844" s="92">
        <f t="shared" si="2357"/>
        <v>587</v>
      </c>
      <c r="BE844" s="988">
        <v>587</v>
      </c>
      <c r="BF844" s="92"/>
      <c r="BG844" s="92"/>
      <c r="BH844" s="464"/>
      <c r="BI844" s="92">
        <f t="shared" si="2358"/>
        <v>0</v>
      </c>
      <c r="BJ844" s="989"/>
      <c r="BK844" s="92"/>
      <c r="BL844" s="92"/>
      <c r="BM844" s="92"/>
      <c r="BN844" s="92">
        <f t="shared" si="2359"/>
        <v>0</v>
      </c>
      <c r="BO844" s="989"/>
      <c r="BP844" s="989"/>
      <c r="BQ844" s="989"/>
      <c r="BR844" s="989"/>
      <c r="BS844" s="305"/>
    </row>
    <row r="845" spans="1:71" s="300" customFormat="1" ht="15" hidden="1" outlineLevel="1">
      <c r="A845" s="304" t="s">
        <v>151</v>
      </c>
      <c r="B845" s="166"/>
      <c r="C845" s="989"/>
      <c r="D845" s="989"/>
      <c r="E845" s="989"/>
      <c r="F845" s="989"/>
      <c r="G845" s="989"/>
      <c r="H845" s="92"/>
      <c r="I845" s="92"/>
      <c r="J845" s="92"/>
      <c r="K845" s="92"/>
      <c r="L845" s="989"/>
      <c r="M845" s="92"/>
      <c r="N845" s="92"/>
      <c r="O845" s="92"/>
      <c r="P845" s="92"/>
      <c r="Q845" s="989"/>
      <c r="R845" s="92"/>
      <c r="S845" s="92"/>
      <c r="T845" s="92"/>
      <c r="U845" s="92"/>
      <c r="V845" s="989"/>
      <c r="W845" s="92"/>
      <c r="X845" s="92"/>
      <c r="Y845" s="92"/>
      <c r="Z845" s="92"/>
      <c r="AA845" s="989"/>
      <c r="AB845" s="92"/>
      <c r="AC845" s="92"/>
      <c r="AD845" s="92"/>
      <c r="AE845" s="305">
        <f t="shared" si="2352"/>
        <v>-385</v>
      </c>
      <c r="AF845" s="988">
        <v>-385</v>
      </c>
      <c r="AG845" s="92"/>
      <c r="AH845" s="92"/>
      <c r="AI845" s="92"/>
      <c r="AJ845" s="305">
        <f t="shared" si="2353"/>
        <v>-1132</v>
      </c>
      <c r="AK845" s="988">
        <v>-1132</v>
      </c>
      <c r="AL845" s="897">
        <v>-288</v>
      </c>
      <c r="AM845" s="897">
        <v>-288</v>
      </c>
      <c r="AN845" s="897">
        <v>-288</v>
      </c>
      <c r="AO845" s="92">
        <f t="shared" si="2354"/>
        <v>-288</v>
      </c>
      <c r="AP845" s="988">
        <v>-288</v>
      </c>
      <c r="AQ845" s="897">
        <v>-250</v>
      </c>
      <c r="AR845" s="897">
        <v>-250</v>
      </c>
      <c r="AS845" s="897">
        <v>-450</v>
      </c>
      <c r="AT845" s="92">
        <f t="shared" si="2355"/>
        <v>-450</v>
      </c>
      <c r="AU845" s="988">
        <v>-450</v>
      </c>
      <c r="AV845" s="92"/>
      <c r="AW845" s="92"/>
      <c r="AX845" s="92"/>
      <c r="AY845" s="92">
        <f t="shared" si="2356"/>
        <v>0</v>
      </c>
      <c r="AZ845" s="989"/>
      <c r="BA845" s="92"/>
      <c r="BB845" s="897">
        <v>-575</v>
      </c>
      <c r="BC845" s="897">
        <v>-575</v>
      </c>
      <c r="BD845" s="92">
        <f t="shared" si="2357"/>
        <v>-575</v>
      </c>
      <c r="BE845" s="988">
        <v>-575</v>
      </c>
      <c r="BF845" s="92"/>
      <c r="BG845" s="92"/>
      <c r="BH845" s="464"/>
      <c r="BI845" s="92">
        <f t="shared" si="2358"/>
        <v>0</v>
      </c>
      <c r="BJ845" s="989"/>
      <c r="BK845" s="92"/>
      <c r="BL845" s="92"/>
      <c r="BM845" s="92"/>
      <c r="BN845" s="92">
        <f t="shared" si="2359"/>
        <v>0</v>
      </c>
      <c r="BO845" s="989"/>
      <c r="BP845" s="989"/>
      <c r="BQ845" s="989"/>
      <c r="BR845" s="989"/>
      <c r="BS845" s="305"/>
    </row>
    <row r="846" spans="1:71" s="300" customFormat="1" ht="15" hidden="1" outlineLevel="1">
      <c r="A846" s="304" t="s">
        <v>152</v>
      </c>
      <c r="B846" s="166"/>
      <c r="C846" s="988">
        <v>4150</v>
      </c>
      <c r="D846" s="988">
        <v>2980</v>
      </c>
      <c r="E846" s="988">
        <v>2176</v>
      </c>
      <c r="F846" s="988">
        <v>2158</v>
      </c>
      <c r="G846" s="988">
        <v>2174</v>
      </c>
      <c r="H846" s="897">
        <v>403</v>
      </c>
      <c r="I846" s="897">
        <v>666</v>
      </c>
      <c r="J846" s="897">
        <v>926</v>
      </c>
      <c r="K846" s="305">
        <f t="shared" si="2360" ref="K846:K854">L846</f>
        <v>1184</v>
      </c>
      <c r="L846" s="988">
        <v>1184</v>
      </c>
      <c r="M846" s="897">
        <v>261</v>
      </c>
      <c r="N846" s="897">
        <v>527</v>
      </c>
      <c r="O846" s="897">
        <v>784</v>
      </c>
      <c r="P846" s="305">
        <f t="shared" si="2361" ref="P846:P854">Q846</f>
        <v>1052</v>
      </c>
      <c r="Q846" s="988">
        <v>1052</v>
      </c>
      <c r="R846" s="897">
        <v>261</v>
      </c>
      <c r="S846" s="897">
        <v>522</v>
      </c>
      <c r="T846" s="897">
        <v>785</v>
      </c>
      <c r="U846" s="305">
        <f t="shared" si="2362" ref="U846:U854">V846</f>
        <v>1049</v>
      </c>
      <c r="V846" s="988">
        <v>1049</v>
      </c>
      <c r="W846" s="897">
        <v>257</v>
      </c>
      <c r="X846" s="897">
        <v>515</v>
      </c>
      <c r="Y846" s="897">
        <v>767</v>
      </c>
      <c r="Z846" s="305">
        <f t="shared" si="2363" ref="Z846:Z854">AA846</f>
        <v>1025</v>
      </c>
      <c r="AA846" s="988">
        <v>1025</v>
      </c>
      <c r="AB846" s="897">
        <v>253</v>
      </c>
      <c r="AC846" s="897">
        <v>506</v>
      </c>
      <c r="AD846" s="897">
        <v>756</v>
      </c>
      <c r="AE846" s="305">
        <f t="shared" si="2352"/>
        <v>1010</v>
      </c>
      <c r="AF846" s="988">
        <v>1010</v>
      </c>
      <c r="AG846" s="897">
        <v>254</v>
      </c>
      <c r="AH846" s="897">
        <v>504</v>
      </c>
      <c r="AI846" s="897">
        <v>751</v>
      </c>
      <c r="AJ846" s="305">
        <f t="shared" si="2353"/>
        <v>996</v>
      </c>
      <c r="AK846" s="988">
        <v>996</v>
      </c>
      <c r="AL846" s="897">
        <v>246</v>
      </c>
      <c r="AM846" s="897">
        <v>494</v>
      </c>
      <c r="AN846" s="897">
        <v>749</v>
      </c>
      <c r="AO846" s="92">
        <f t="shared" si="2354"/>
        <v>991</v>
      </c>
      <c r="AP846" s="988">
        <v>991</v>
      </c>
      <c r="AQ846" s="897">
        <v>252</v>
      </c>
      <c r="AR846" s="897">
        <v>499</v>
      </c>
      <c r="AS846" s="897">
        <v>741</v>
      </c>
      <c r="AT846" s="92">
        <f t="shared" si="2355"/>
        <v>826</v>
      </c>
      <c r="AU846" s="988">
        <v>826</v>
      </c>
      <c r="AV846" s="897">
        <v>34</v>
      </c>
      <c r="AW846" s="897">
        <v>69</v>
      </c>
      <c r="AX846" s="897">
        <v>102</v>
      </c>
      <c r="AY846" s="92">
        <f t="shared" si="2356"/>
        <v>133</v>
      </c>
      <c r="AZ846" s="988">
        <v>133</v>
      </c>
      <c r="BA846" s="897">
        <v>33</v>
      </c>
      <c r="BB846" s="897">
        <v>66</v>
      </c>
      <c r="BC846" s="897">
        <v>99</v>
      </c>
      <c r="BD846" s="92">
        <f t="shared" si="2357"/>
        <v>130</v>
      </c>
      <c r="BE846" s="988">
        <v>130</v>
      </c>
      <c r="BF846" s="897">
        <v>34</v>
      </c>
      <c r="BG846" s="897">
        <v>67</v>
      </c>
      <c r="BH846" s="898">
        <v>98</v>
      </c>
      <c r="BI846" s="92">
        <f t="shared" si="2358"/>
        <v>0</v>
      </c>
      <c r="BJ846" s="989"/>
      <c r="BK846" s="92"/>
      <c r="BL846" s="92"/>
      <c r="BM846" s="92"/>
      <c r="BN846" s="92">
        <f t="shared" si="2359"/>
        <v>0</v>
      </c>
      <c r="BO846" s="989"/>
      <c r="BP846" s="989"/>
      <c r="BQ846" s="989"/>
      <c r="BR846" s="989"/>
      <c r="BS846" s="305"/>
    </row>
    <row r="847" spans="1:71" s="300" customFormat="1" ht="15" hidden="1" outlineLevel="1">
      <c r="A847" s="304" t="s">
        <v>153</v>
      </c>
      <c r="B847" s="166"/>
      <c r="C847" s="988">
        <v>-11406</v>
      </c>
      <c r="D847" s="988">
        <v>-8470</v>
      </c>
      <c r="E847" s="988">
        <v>-8680</v>
      </c>
      <c r="F847" s="988">
        <v>-5519</v>
      </c>
      <c r="G847" s="988">
        <v>-6556</v>
      </c>
      <c r="H847" s="897">
        <v>-1084</v>
      </c>
      <c r="I847" s="897">
        <v>-1922</v>
      </c>
      <c r="J847" s="897">
        <v>-2831</v>
      </c>
      <c r="K847" s="305">
        <f t="shared" si="2360"/>
        <v>-3446</v>
      </c>
      <c r="L847" s="988">
        <v>-3446</v>
      </c>
      <c r="M847" s="897">
        <v>-572</v>
      </c>
      <c r="N847" s="897">
        <v>-1152</v>
      </c>
      <c r="O847" s="897">
        <v>-1793</v>
      </c>
      <c r="P847" s="305">
        <f t="shared" si="2361"/>
        <v>-2327</v>
      </c>
      <c r="Q847" s="988">
        <v>-2327</v>
      </c>
      <c r="R847" s="897">
        <v>-492</v>
      </c>
      <c r="S847" s="897">
        <v>-1013</v>
      </c>
      <c r="T847" s="897">
        <v>-1537</v>
      </c>
      <c r="U847" s="305">
        <f t="shared" si="2362"/>
        <v>-2087</v>
      </c>
      <c r="V847" s="988">
        <v>-2087</v>
      </c>
      <c r="W847" s="897">
        <v>-483</v>
      </c>
      <c r="X847" s="897">
        <v>-957</v>
      </c>
      <c r="Y847" s="897">
        <v>-1416</v>
      </c>
      <c r="Z847" s="305">
        <f t="shared" si="2363"/>
        <v>-1890</v>
      </c>
      <c r="AA847" s="988">
        <v>-1890</v>
      </c>
      <c r="AB847" s="897">
        <v>-492</v>
      </c>
      <c r="AC847" s="897">
        <v>-997</v>
      </c>
      <c r="AD847" s="897">
        <v>-1474</v>
      </c>
      <c r="AE847" s="305">
        <f t="shared" si="2352"/>
        <v>-1967</v>
      </c>
      <c r="AF847" s="988">
        <v>-1967</v>
      </c>
      <c r="AG847" s="897">
        <v>-458</v>
      </c>
      <c r="AH847" s="897">
        <v>-876</v>
      </c>
      <c r="AI847" s="897">
        <v>-1278</v>
      </c>
      <c r="AJ847" s="305">
        <f t="shared" si="2353"/>
        <v>-1662</v>
      </c>
      <c r="AK847" s="988">
        <v>-1662</v>
      </c>
      <c r="AL847" s="897">
        <v>-471</v>
      </c>
      <c r="AM847" s="897">
        <v>-791</v>
      </c>
      <c r="AN847" s="897">
        <v>-1151</v>
      </c>
      <c r="AO847" s="92">
        <f t="shared" si="2354"/>
        <v>-1494</v>
      </c>
      <c r="AP847" s="988">
        <v>-1494</v>
      </c>
      <c r="AQ847" s="897">
        <v>-374</v>
      </c>
      <c r="AR847" s="897">
        <v>-711</v>
      </c>
      <c r="AS847" s="897">
        <v>-1036</v>
      </c>
      <c r="AT847" s="92">
        <f t="shared" si="2355"/>
        <v>-1140</v>
      </c>
      <c r="AU847" s="988">
        <v>-1140</v>
      </c>
      <c r="AV847" s="897">
        <v>-9</v>
      </c>
      <c r="AW847" s="897">
        <v>-21</v>
      </c>
      <c r="AX847" s="897">
        <v>-31</v>
      </c>
      <c r="AY847" s="92">
        <f t="shared" si="2356"/>
        <v>-49</v>
      </c>
      <c r="AZ847" s="988">
        <v>-49</v>
      </c>
      <c r="BA847" s="897">
        <v>-9</v>
      </c>
      <c r="BB847" s="897">
        <v>-16</v>
      </c>
      <c r="BC847" s="897">
        <v>-23</v>
      </c>
      <c r="BD847" s="92">
        <f t="shared" si="2357"/>
        <v>-35</v>
      </c>
      <c r="BE847" s="988">
        <v>-35</v>
      </c>
      <c r="BF847" s="897">
        <v>-8</v>
      </c>
      <c r="BG847" s="897">
        <v>-16</v>
      </c>
      <c r="BH847" s="898">
        <v>-26</v>
      </c>
      <c r="BI847" s="92">
        <f t="shared" si="2358"/>
        <v>0</v>
      </c>
      <c r="BJ847" s="989"/>
      <c r="BK847" s="92"/>
      <c r="BL847" s="92"/>
      <c r="BM847" s="92"/>
      <c r="BN847" s="92">
        <f t="shared" si="2359"/>
        <v>0</v>
      </c>
      <c r="BO847" s="989"/>
      <c r="BP847" s="989"/>
      <c r="BQ847" s="989"/>
      <c r="BR847" s="989"/>
      <c r="BS847" s="305"/>
    </row>
    <row r="848" spans="1:71" s="300" customFormat="1" ht="15" hidden="1" outlineLevel="1">
      <c r="A848" s="304" t="s">
        <v>154</v>
      </c>
      <c r="B848" s="166"/>
      <c r="C848" s="988">
        <v>-542</v>
      </c>
      <c r="D848" s="988">
        <v>-430</v>
      </c>
      <c r="E848" s="988">
        <v>-435</v>
      </c>
      <c r="F848" s="988">
        <v>-534</v>
      </c>
      <c r="G848" s="988">
        <v>-352</v>
      </c>
      <c r="H848" s="897">
        <v>-113</v>
      </c>
      <c r="I848" s="897">
        <v>-238</v>
      </c>
      <c r="J848" s="897">
        <v>-360</v>
      </c>
      <c r="K848" s="305">
        <f t="shared" si="2360"/>
        <v>-477</v>
      </c>
      <c r="L848" s="988">
        <v>-477</v>
      </c>
      <c r="M848" s="897">
        <v>-118</v>
      </c>
      <c r="N848" s="897">
        <v>-243</v>
      </c>
      <c r="O848" s="897">
        <v>-365</v>
      </c>
      <c r="P848" s="305">
        <f t="shared" si="2361"/>
        <v>-483</v>
      </c>
      <c r="Q848" s="988">
        <v>-483</v>
      </c>
      <c r="R848" s="897">
        <v>-115</v>
      </c>
      <c r="S848" s="897">
        <v>-240</v>
      </c>
      <c r="T848" s="897">
        <v>-364</v>
      </c>
      <c r="U848" s="305">
        <f t="shared" si="2362"/>
        <v>-486</v>
      </c>
      <c r="V848" s="988">
        <v>-486</v>
      </c>
      <c r="W848" s="897">
        <v>-122</v>
      </c>
      <c r="X848" s="897">
        <v>-257</v>
      </c>
      <c r="Y848" s="897">
        <v>-391</v>
      </c>
      <c r="Z848" s="305">
        <f t="shared" si="2363"/>
        <v>-525</v>
      </c>
      <c r="AA848" s="988">
        <v>-525</v>
      </c>
      <c r="AB848" s="897">
        <v>-132</v>
      </c>
      <c r="AC848" s="897">
        <v>-295</v>
      </c>
      <c r="AD848" s="897">
        <v>-455</v>
      </c>
      <c r="AE848" s="305">
        <f t="shared" si="2352"/>
        <v>-614</v>
      </c>
      <c r="AF848" s="988">
        <v>-614</v>
      </c>
      <c r="AG848" s="897">
        <v>-158</v>
      </c>
      <c r="AH848" s="897">
        <v>-324</v>
      </c>
      <c r="AI848" s="897">
        <v>-490</v>
      </c>
      <c r="AJ848" s="305">
        <f t="shared" si="2353"/>
        <v>-653</v>
      </c>
      <c r="AK848" s="988">
        <v>-653</v>
      </c>
      <c r="AL848" s="897">
        <v>-159</v>
      </c>
      <c r="AM848" s="897">
        <v>-331</v>
      </c>
      <c r="AN848" s="897">
        <v>-500</v>
      </c>
      <c r="AO848" s="92">
        <f t="shared" si="2354"/>
        <v>-668</v>
      </c>
      <c r="AP848" s="988">
        <v>-668</v>
      </c>
      <c r="AQ848" s="897">
        <v>-164</v>
      </c>
      <c r="AR848" s="897">
        <v>-409</v>
      </c>
      <c r="AS848" s="897">
        <v>-650</v>
      </c>
      <c r="AT848" s="92">
        <f t="shared" si="2355"/>
        <v>-885</v>
      </c>
      <c r="AU848" s="988">
        <v>-885</v>
      </c>
      <c r="AV848" s="897">
        <v>-230</v>
      </c>
      <c r="AW848" s="897">
        <v>-466</v>
      </c>
      <c r="AX848" s="897">
        <v>-698</v>
      </c>
      <c r="AY848" s="92">
        <f t="shared" si="2356"/>
        <v>-926</v>
      </c>
      <c r="AZ848" s="988">
        <v>-926</v>
      </c>
      <c r="BA848" s="897">
        <v>-224</v>
      </c>
      <c r="BB848" s="897">
        <v>-459</v>
      </c>
      <c r="BC848" s="897">
        <v>-692</v>
      </c>
      <c r="BD848" s="92">
        <f t="shared" si="2357"/>
        <v>-925</v>
      </c>
      <c r="BE848" s="988">
        <v>-925</v>
      </c>
      <c r="BF848" s="897">
        <v>-233</v>
      </c>
      <c r="BG848" s="897">
        <v>-476</v>
      </c>
      <c r="BH848" s="898">
        <v>-719</v>
      </c>
      <c r="BI848" s="92">
        <f t="shared" si="2358"/>
        <v>0</v>
      </c>
      <c r="BJ848" s="989"/>
      <c r="BK848" s="92"/>
      <c r="BL848" s="92"/>
      <c r="BM848" s="92"/>
      <c r="BN848" s="92">
        <f t="shared" si="2359"/>
        <v>0</v>
      </c>
      <c r="BO848" s="989"/>
      <c r="BP848" s="989"/>
      <c r="BQ848" s="989"/>
      <c r="BR848" s="989"/>
      <c r="BS848" s="305"/>
    </row>
    <row r="849" spans="1:71" s="300" customFormat="1" ht="15" hidden="1" outlineLevel="1">
      <c r="A849" s="304" t="s">
        <v>155</v>
      </c>
      <c r="B849" s="166"/>
      <c r="C849" s="989"/>
      <c r="D849" s="989"/>
      <c r="E849" s="989"/>
      <c r="F849" s="989"/>
      <c r="G849" s="988">
        <v>-6</v>
      </c>
      <c r="H849" s="897">
        <v>-12</v>
      </c>
      <c r="I849" s="897">
        <v>-25</v>
      </c>
      <c r="J849" s="897">
        <v>-56</v>
      </c>
      <c r="K849" s="305">
        <f t="shared" si="2360"/>
        <v>-87</v>
      </c>
      <c r="L849" s="988">
        <v>-87</v>
      </c>
      <c r="M849" s="897">
        <v>-29</v>
      </c>
      <c r="N849" s="897">
        <v>-58</v>
      </c>
      <c r="O849" s="897">
        <v>-87</v>
      </c>
      <c r="P849" s="305">
        <f t="shared" si="2361"/>
        <v>-116</v>
      </c>
      <c r="Q849" s="988">
        <v>-116</v>
      </c>
      <c r="R849" s="897">
        <v>-29</v>
      </c>
      <c r="S849" s="897">
        <v>-58</v>
      </c>
      <c r="T849" s="897">
        <v>-87</v>
      </c>
      <c r="U849" s="305">
        <f t="shared" si="2362"/>
        <v>-116</v>
      </c>
      <c r="V849" s="988">
        <v>-116</v>
      </c>
      <c r="W849" s="897">
        <v>-29</v>
      </c>
      <c r="X849" s="897">
        <v>-58</v>
      </c>
      <c r="Y849" s="897">
        <v>-87</v>
      </c>
      <c r="Z849" s="305">
        <f t="shared" si="2363"/>
        <v>-116</v>
      </c>
      <c r="AA849" s="988">
        <v>-116</v>
      </c>
      <c r="AB849" s="897">
        <v>-29</v>
      </c>
      <c r="AC849" s="897">
        <v>-58</v>
      </c>
      <c r="AD849" s="897">
        <v>-97</v>
      </c>
      <c r="AE849" s="305">
        <f t="shared" si="2352"/>
        <v>-134</v>
      </c>
      <c r="AF849" s="988">
        <v>-134</v>
      </c>
      <c r="AG849" s="897">
        <v>-31</v>
      </c>
      <c r="AH849" s="897">
        <v>-61</v>
      </c>
      <c r="AI849" s="897">
        <v>-92</v>
      </c>
      <c r="AJ849" s="305">
        <f t="shared" si="2353"/>
        <v>-134</v>
      </c>
      <c r="AK849" s="988">
        <v>-134</v>
      </c>
      <c r="AL849" s="897">
        <v>-29</v>
      </c>
      <c r="AM849" s="897">
        <v>-56</v>
      </c>
      <c r="AN849" s="897">
        <v>-82</v>
      </c>
      <c r="AO849" s="92">
        <f t="shared" si="2354"/>
        <v>-108</v>
      </c>
      <c r="AP849" s="988">
        <v>-108</v>
      </c>
      <c r="AQ849" s="897">
        <v>-27</v>
      </c>
      <c r="AR849" s="897">
        <v>-57</v>
      </c>
      <c r="AS849" s="897">
        <v>-87</v>
      </c>
      <c r="AT849" s="92">
        <f t="shared" si="2355"/>
        <v>-114</v>
      </c>
      <c r="AU849" s="988">
        <v>-114</v>
      </c>
      <c r="AV849" s="897">
        <v>-26</v>
      </c>
      <c r="AW849" s="897">
        <v>-53</v>
      </c>
      <c r="AX849" s="897">
        <v>-79</v>
      </c>
      <c r="AY849" s="92">
        <f t="shared" si="2356"/>
        <v>-105</v>
      </c>
      <c r="AZ849" s="988">
        <v>-105</v>
      </c>
      <c r="BA849" s="897">
        <v>-26</v>
      </c>
      <c r="BB849" s="897">
        <v>-53</v>
      </c>
      <c r="BC849" s="897">
        <v>-71</v>
      </c>
      <c r="BD849" s="92">
        <f t="shared" si="2357"/>
        <v>-107</v>
      </c>
      <c r="BE849" s="988">
        <v>-107</v>
      </c>
      <c r="BF849" s="897">
        <v>-29</v>
      </c>
      <c r="BG849" s="897">
        <v>-59</v>
      </c>
      <c r="BH849" s="898">
        <v>-88</v>
      </c>
      <c r="BI849" s="92">
        <f t="shared" si="2358"/>
        <v>0</v>
      </c>
      <c r="BJ849" s="989"/>
      <c r="BK849" s="92"/>
      <c r="BL849" s="92"/>
      <c r="BM849" s="92"/>
      <c r="BN849" s="92">
        <f t="shared" si="2359"/>
        <v>0</v>
      </c>
      <c r="BO849" s="989"/>
      <c r="BP849" s="989"/>
      <c r="BQ849" s="989"/>
      <c r="BR849" s="989"/>
      <c r="BS849" s="305"/>
    </row>
    <row r="850" spans="1:71" s="300" customFormat="1" ht="15" hidden="1" outlineLevel="1">
      <c r="A850" s="304" t="s">
        <v>156</v>
      </c>
      <c r="B850" s="166"/>
      <c r="C850" s="988">
        <v>-4</v>
      </c>
      <c r="D850" s="988">
        <v>-152</v>
      </c>
      <c r="E850" s="988">
        <v>-953</v>
      </c>
      <c r="F850" s="988">
        <v>-913</v>
      </c>
      <c r="G850" s="988">
        <v>-1834</v>
      </c>
      <c r="H850" s="897">
        <v>-1115</v>
      </c>
      <c r="I850" s="897">
        <v>-1257</v>
      </c>
      <c r="J850" s="897">
        <v>-2189</v>
      </c>
      <c r="K850" s="305">
        <f t="shared" si="2360"/>
        <v>-2301</v>
      </c>
      <c r="L850" s="988">
        <v>-2301</v>
      </c>
      <c r="M850" s="897">
        <v>-1010</v>
      </c>
      <c r="N850" s="897">
        <v>-1424</v>
      </c>
      <c r="O850" s="897">
        <v>-2216</v>
      </c>
      <c r="P850" s="305">
        <f t="shared" si="2361"/>
        <v>-2808</v>
      </c>
      <c r="Q850" s="988">
        <v>-2808</v>
      </c>
      <c r="R850" s="897">
        <v>-456</v>
      </c>
      <c r="S850" s="897">
        <v>-904</v>
      </c>
      <c r="T850" s="897">
        <v>-1154</v>
      </c>
      <c r="U850" s="305">
        <f t="shared" si="2362"/>
        <v>-1337</v>
      </c>
      <c r="V850" s="988">
        <v>-1337</v>
      </c>
      <c r="W850" s="897">
        <v>-264</v>
      </c>
      <c r="X850" s="897">
        <v>-657</v>
      </c>
      <c r="Y850" s="897">
        <v>-848</v>
      </c>
      <c r="Z850" s="305">
        <f t="shared" si="2363"/>
        <v>-1495</v>
      </c>
      <c r="AA850" s="988">
        <v>-1495</v>
      </c>
      <c r="AB850" s="897">
        <v>-270</v>
      </c>
      <c r="AC850" s="897">
        <v>-838</v>
      </c>
      <c r="AD850" s="897">
        <v>-1062</v>
      </c>
      <c r="AE850" s="305">
        <f t="shared" si="2352"/>
        <v>-2303</v>
      </c>
      <c r="AF850" s="988">
        <v>-2303</v>
      </c>
      <c r="AG850" s="897">
        <v>0</v>
      </c>
      <c r="AH850" s="897">
        <v>-332</v>
      </c>
      <c r="AI850" s="897">
        <v>-936</v>
      </c>
      <c r="AJ850" s="305">
        <f t="shared" si="2353"/>
        <v>-1735</v>
      </c>
      <c r="AK850" s="988">
        <v>-1735</v>
      </c>
      <c r="AL850" s="897">
        <v>-414</v>
      </c>
      <c r="AM850" s="897">
        <v>-821</v>
      </c>
      <c r="AN850" s="897">
        <v>-1737</v>
      </c>
      <c r="AO850" s="92">
        <f t="shared" si="2354"/>
        <v>-1737</v>
      </c>
      <c r="AP850" s="988">
        <v>-1737</v>
      </c>
      <c r="AQ850" s="897">
        <v>-467</v>
      </c>
      <c r="AR850" s="897">
        <v>-1031</v>
      </c>
      <c r="AS850" s="897">
        <v>-2257</v>
      </c>
      <c r="AT850" s="92">
        <f t="shared" si="2355"/>
        <v>-3120</v>
      </c>
      <c r="AU850" s="988">
        <v>-3120</v>
      </c>
      <c r="AV850" s="897">
        <v>-802</v>
      </c>
      <c r="AW850" s="897">
        <v>-1485</v>
      </c>
      <c r="AX850" s="897">
        <v>-2150</v>
      </c>
      <c r="AY850" s="92">
        <f t="shared" si="2356"/>
        <v>-2520</v>
      </c>
      <c r="AZ850" s="988">
        <v>-2520</v>
      </c>
      <c r="BA850" s="897">
        <v>-153</v>
      </c>
      <c r="BB850" s="897">
        <v>-307</v>
      </c>
      <c r="BC850" s="897">
        <v>-335</v>
      </c>
      <c r="BD850" s="92">
        <f t="shared" si="2357"/>
        <v>-335</v>
      </c>
      <c r="BE850" s="988">
        <v>-335</v>
      </c>
      <c r="BF850" s="92"/>
      <c r="BG850" s="92"/>
      <c r="BH850" s="464"/>
      <c r="BI850" s="92">
        <f t="shared" si="2358"/>
        <v>0</v>
      </c>
      <c r="BJ850" s="989"/>
      <c r="BK850" s="92"/>
      <c r="BL850" s="92"/>
      <c r="BM850" s="92"/>
      <c r="BN850" s="92">
        <f t="shared" si="2359"/>
        <v>0</v>
      </c>
      <c r="BO850" s="989"/>
      <c r="BP850" s="989"/>
      <c r="BQ850" s="989"/>
      <c r="BR850" s="989"/>
      <c r="BS850" s="305"/>
    </row>
    <row r="851" spans="1:71" s="300" customFormat="1" ht="15" hidden="1" outlineLevel="1">
      <c r="A851" s="304" t="s">
        <v>157</v>
      </c>
      <c r="B851" s="166"/>
      <c r="C851" s="988">
        <v>3</v>
      </c>
      <c r="D851" s="988">
        <v>28</v>
      </c>
      <c r="E851" s="988">
        <v>19</v>
      </c>
      <c r="F851" s="988">
        <v>85</v>
      </c>
      <c r="G851" s="988">
        <v>170</v>
      </c>
      <c r="H851" s="897">
        <v>77</v>
      </c>
      <c r="I851" s="897">
        <v>149</v>
      </c>
      <c r="J851" s="897">
        <v>204</v>
      </c>
      <c r="K851" s="305">
        <f t="shared" si="2360"/>
        <v>266</v>
      </c>
      <c r="L851" s="988">
        <v>266</v>
      </c>
      <c r="M851" s="897">
        <v>64</v>
      </c>
      <c r="N851" s="897">
        <v>109</v>
      </c>
      <c r="O851" s="897">
        <v>121</v>
      </c>
      <c r="P851" s="305">
        <f t="shared" si="2361"/>
        <v>130</v>
      </c>
      <c r="Q851" s="988">
        <v>130</v>
      </c>
      <c r="R851" s="897">
        <v>30</v>
      </c>
      <c r="S851" s="897">
        <v>72</v>
      </c>
      <c r="T851" s="897">
        <v>123</v>
      </c>
      <c r="U851" s="305">
        <f t="shared" si="2362"/>
        <v>164</v>
      </c>
      <c r="V851" s="988">
        <v>164</v>
      </c>
      <c r="W851" s="897">
        <v>67</v>
      </c>
      <c r="X851" s="897">
        <v>108</v>
      </c>
      <c r="Y851" s="897">
        <v>132</v>
      </c>
      <c r="Z851" s="305">
        <f t="shared" si="2363"/>
        <v>135</v>
      </c>
      <c r="AA851" s="988">
        <v>135</v>
      </c>
      <c r="AB851" s="897">
        <v>10</v>
      </c>
      <c r="AC851" s="897">
        <v>28</v>
      </c>
      <c r="AD851" s="897">
        <v>66</v>
      </c>
      <c r="AE851" s="305">
        <f t="shared" si="2352"/>
        <v>73</v>
      </c>
      <c r="AF851" s="988">
        <v>73</v>
      </c>
      <c r="AG851" s="897">
        <v>-5</v>
      </c>
      <c r="AH851" s="897">
        <v>44</v>
      </c>
      <c r="AI851" s="897">
        <v>98</v>
      </c>
      <c r="AJ851" s="305">
        <f t="shared" si="2353"/>
        <v>120</v>
      </c>
      <c r="AK851" s="988">
        <v>120</v>
      </c>
      <c r="AL851" s="897">
        <v>8</v>
      </c>
      <c r="AM851" s="897">
        <v>52</v>
      </c>
      <c r="AN851" s="897">
        <v>54</v>
      </c>
      <c r="AO851" s="92">
        <f t="shared" si="2354"/>
        <v>63</v>
      </c>
      <c r="AP851" s="988">
        <v>63</v>
      </c>
      <c r="AQ851" s="897">
        <v>4</v>
      </c>
      <c r="AR851" s="897">
        <v>85</v>
      </c>
      <c r="AS851" s="897">
        <v>108</v>
      </c>
      <c r="AT851" s="92">
        <f t="shared" si="2355"/>
        <v>114</v>
      </c>
      <c r="AU851" s="988">
        <v>114</v>
      </c>
      <c r="AV851" s="897">
        <v>17</v>
      </c>
      <c r="AW851" s="897">
        <v>55</v>
      </c>
      <c r="AX851" s="897">
        <v>61</v>
      </c>
      <c r="AY851" s="92">
        <f t="shared" si="2356"/>
        <v>82</v>
      </c>
      <c r="AZ851" s="988">
        <v>82</v>
      </c>
      <c r="BA851" s="897">
        <v>6</v>
      </c>
      <c r="BB851" s="897">
        <v>10</v>
      </c>
      <c r="BC851" s="897">
        <v>17</v>
      </c>
      <c r="BD851" s="92">
        <f t="shared" si="2357"/>
        <v>73</v>
      </c>
      <c r="BE851" s="988">
        <v>73</v>
      </c>
      <c r="BF851" s="897">
        <v>80</v>
      </c>
      <c r="BG851" s="897">
        <v>93</v>
      </c>
      <c r="BH851" s="898">
        <v>149</v>
      </c>
      <c r="BI851" s="92">
        <f t="shared" si="2358"/>
        <v>0</v>
      </c>
      <c r="BJ851" s="989"/>
      <c r="BK851" s="92"/>
      <c r="BL851" s="92"/>
      <c r="BM851" s="92"/>
      <c r="BN851" s="92">
        <f t="shared" si="2359"/>
        <v>0</v>
      </c>
      <c r="BO851" s="989"/>
      <c r="BP851" s="989"/>
      <c r="BQ851" s="989"/>
      <c r="BR851" s="989"/>
      <c r="BS851" s="305"/>
    </row>
    <row r="852" spans="1:71" s="300" customFormat="1" ht="15" hidden="1" outlineLevel="1">
      <c r="A852" s="304" t="s">
        <v>158</v>
      </c>
      <c r="B852" s="166"/>
      <c r="C852" s="988">
        <v>-5</v>
      </c>
      <c r="D852" s="988">
        <v>-7</v>
      </c>
      <c r="E852" s="988">
        <v>-5</v>
      </c>
      <c r="F852" s="988">
        <v>10</v>
      </c>
      <c r="G852" s="988">
        <v>38</v>
      </c>
      <c r="H852" s="897">
        <v>13</v>
      </c>
      <c r="I852" s="897">
        <v>18</v>
      </c>
      <c r="J852" s="897">
        <v>22</v>
      </c>
      <c r="K852" s="305">
        <f t="shared" si="2360"/>
        <v>41</v>
      </c>
      <c r="L852" s="988">
        <v>41</v>
      </c>
      <c r="M852" s="897">
        <v>26</v>
      </c>
      <c r="N852" s="897">
        <v>43</v>
      </c>
      <c r="O852" s="897">
        <v>44</v>
      </c>
      <c r="P852" s="305">
        <f t="shared" si="2361"/>
        <v>45</v>
      </c>
      <c r="Q852" s="988">
        <v>45</v>
      </c>
      <c r="R852" s="897">
        <v>12</v>
      </c>
      <c r="S852" s="897">
        <v>20</v>
      </c>
      <c r="T852" s="897">
        <v>25</v>
      </c>
      <c r="U852" s="305">
        <f t="shared" si="2362"/>
        <v>32</v>
      </c>
      <c r="V852" s="988">
        <v>32</v>
      </c>
      <c r="W852" s="897">
        <v>0</v>
      </c>
      <c r="X852" s="897">
        <v>0</v>
      </c>
      <c r="Y852" s="897">
        <v>0</v>
      </c>
      <c r="Z852" s="305">
        <f t="shared" si="2363"/>
        <v>0</v>
      </c>
      <c r="AA852" s="988">
        <v>0</v>
      </c>
      <c r="AB852" s="92"/>
      <c r="AC852" s="92"/>
      <c r="AD852" s="92"/>
      <c r="AE852" s="305">
        <f t="shared" si="2352"/>
        <v>0</v>
      </c>
      <c r="AF852" s="989"/>
      <c r="AG852" s="92"/>
      <c r="AH852" s="92"/>
      <c r="AI852" s="92"/>
      <c r="AJ852" s="305">
        <f t="shared" si="2353"/>
        <v>0</v>
      </c>
      <c r="AK852" s="989"/>
      <c r="AL852" s="92"/>
      <c r="AM852" s="92"/>
      <c r="AN852" s="92"/>
      <c r="AO852" s="92">
        <f t="shared" si="2354"/>
        <v>0</v>
      </c>
      <c r="AP852" s="989"/>
      <c r="AQ852" s="92"/>
      <c r="AR852" s="92"/>
      <c r="AS852" s="92"/>
      <c r="AT852" s="92">
        <f t="shared" si="2355"/>
        <v>0</v>
      </c>
      <c r="AU852" s="989"/>
      <c r="AV852" s="92"/>
      <c r="AW852" s="92"/>
      <c r="AX852" s="92"/>
      <c r="AY852" s="92">
        <f t="shared" si="2356"/>
        <v>0</v>
      </c>
      <c r="AZ852" s="989"/>
      <c r="BA852" s="92"/>
      <c r="BB852" s="92"/>
      <c r="BC852" s="92"/>
      <c r="BD852" s="92">
        <f t="shared" si="2357"/>
        <v>0</v>
      </c>
      <c r="BE852" s="989"/>
      <c r="BF852" s="92"/>
      <c r="BG852" s="92"/>
      <c r="BH852" s="464"/>
      <c r="BI852" s="92">
        <f t="shared" si="2358"/>
        <v>0</v>
      </c>
      <c r="BJ852" s="989"/>
      <c r="BK852" s="92"/>
      <c r="BL852" s="92"/>
      <c r="BM852" s="92"/>
      <c r="BN852" s="92">
        <f t="shared" si="2359"/>
        <v>0</v>
      </c>
      <c r="BO852" s="989"/>
      <c r="BP852" s="989"/>
      <c r="BQ852" s="989"/>
      <c r="BR852" s="989"/>
      <c r="BS852" s="305"/>
    </row>
    <row r="853" spans="1:71" s="300" customFormat="1" ht="15" hidden="1" outlineLevel="1">
      <c r="A853" s="304" t="s">
        <v>159</v>
      </c>
      <c r="B853" s="166"/>
      <c r="C853" s="988">
        <v>9</v>
      </c>
      <c r="D853" s="988">
        <v>-18</v>
      </c>
      <c r="E853" s="988">
        <v>2</v>
      </c>
      <c r="F853" s="988">
        <v>-33</v>
      </c>
      <c r="G853" s="988">
        <v>-12</v>
      </c>
      <c r="H853" s="897">
        <v>-6</v>
      </c>
      <c r="I853" s="897">
        <v>-9</v>
      </c>
      <c r="J853" s="897">
        <v>-14</v>
      </c>
      <c r="K853" s="305">
        <f t="shared" si="2360"/>
        <v>-14</v>
      </c>
      <c r="L853" s="988">
        <v>-14</v>
      </c>
      <c r="M853" s="897">
        <v>-2</v>
      </c>
      <c r="N853" s="897">
        <v>-2</v>
      </c>
      <c r="O853" s="897">
        <v>-1</v>
      </c>
      <c r="P853" s="305">
        <f t="shared" si="2361"/>
        <v>7</v>
      </c>
      <c r="Q853" s="988">
        <v>7</v>
      </c>
      <c r="R853" s="897">
        <v>31</v>
      </c>
      <c r="S853" s="897">
        <v>34</v>
      </c>
      <c r="T853" s="897">
        <v>35</v>
      </c>
      <c r="U853" s="305">
        <f t="shared" si="2362"/>
        <v>36</v>
      </c>
      <c r="V853" s="988">
        <v>36</v>
      </c>
      <c r="W853" s="897">
        <v>3</v>
      </c>
      <c r="X853" s="897">
        <v>-53</v>
      </c>
      <c r="Y853" s="897">
        <v>-47</v>
      </c>
      <c r="Z853" s="305">
        <f t="shared" si="2363"/>
        <v>-57</v>
      </c>
      <c r="AA853" s="988">
        <v>-57</v>
      </c>
      <c r="AB853" s="897">
        <v>62</v>
      </c>
      <c r="AC853" s="897">
        <v>93</v>
      </c>
      <c r="AD853" s="897">
        <v>93</v>
      </c>
      <c r="AE853" s="305">
        <f t="shared" si="2352"/>
        <v>91</v>
      </c>
      <c r="AF853" s="988">
        <v>91</v>
      </c>
      <c r="AG853" s="897">
        <v>-1</v>
      </c>
      <c r="AH853" s="897">
        <v>50</v>
      </c>
      <c r="AI853" s="897">
        <v>79</v>
      </c>
      <c r="AJ853" s="305">
        <f t="shared" si="2353"/>
        <v>129</v>
      </c>
      <c r="AK853" s="988">
        <v>129</v>
      </c>
      <c r="AL853" s="897">
        <v>12</v>
      </c>
      <c r="AM853" s="897">
        <v>32</v>
      </c>
      <c r="AN853" s="897">
        <v>58</v>
      </c>
      <c r="AO853" s="92">
        <f t="shared" si="2354"/>
        <v>41</v>
      </c>
      <c r="AP853" s="988">
        <v>41</v>
      </c>
      <c r="AQ853" s="897">
        <v>-32</v>
      </c>
      <c r="AR853" s="897">
        <v>-26</v>
      </c>
      <c r="AS853" s="897">
        <v>-12</v>
      </c>
      <c r="AT853" s="92">
        <f t="shared" si="2355"/>
        <v>-35</v>
      </c>
      <c r="AU853" s="988">
        <v>-35</v>
      </c>
      <c r="AV853" s="897">
        <v>-30</v>
      </c>
      <c r="AW853" s="897">
        <v>-63</v>
      </c>
      <c r="AX853" s="897">
        <v>-52</v>
      </c>
      <c r="AY853" s="92">
        <f t="shared" si="2356"/>
        <v>-35</v>
      </c>
      <c r="AZ853" s="988">
        <v>-35</v>
      </c>
      <c r="BA853" s="897">
        <v>0</v>
      </c>
      <c r="BB853" s="897">
        <v>-4</v>
      </c>
      <c r="BC853" s="897">
        <v>15</v>
      </c>
      <c r="BD853" s="92">
        <f t="shared" si="2357"/>
        <v>-49</v>
      </c>
      <c r="BE853" s="988">
        <v>-49</v>
      </c>
      <c r="BF853" s="897">
        <v>-10</v>
      </c>
      <c r="BG853" s="897">
        <v>-6</v>
      </c>
      <c r="BH853" s="898">
        <v>4</v>
      </c>
      <c r="BI853" s="92">
        <f t="shared" si="2358"/>
        <v>0</v>
      </c>
      <c r="BJ853" s="989"/>
      <c r="BK853" s="92"/>
      <c r="BL853" s="92"/>
      <c r="BM853" s="92"/>
      <c r="BN853" s="92">
        <f t="shared" si="2359"/>
        <v>0</v>
      </c>
      <c r="BO853" s="989"/>
      <c r="BP853" s="989"/>
      <c r="BQ853" s="989"/>
      <c r="BR853" s="989"/>
      <c r="BS853" s="305"/>
    </row>
    <row r="854" spans="1:71" s="300" customFormat="1" ht="15" hidden="1" outlineLevel="1">
      <c r="A854" s="304" t="s">
        <v>160</v>
      </c>
      <c r="B854" s="166"/>
      <c r="C854" s="989"/>
      <c r="D854" s="989"/>
      <c r="E854" s="989"/>
      <c r="F854" s="989"/>
      <c r="G854" s="989"/>
      <c r="H854" s="897">
        <v>-242</v>
      </c>
      <c r="I854" s="92"/>
      <c r="J854" s="92"/>
      <c r="K854" s="305">
        <f t="shared" si="2360"/>
        <v>0</v>
      </c>
      <c r="L854" s="989"/>
      <c r="M854" s="92"/>
      <c r="N854" s="92"/>
      <c r="O854" s="92"/>
      <c r="P854" s="305">
        <f t="shared" si="2361"/>
        <v>0</v>
      </c>
      <c r="Q854" s="989"/>
      <c r="R854" s="92"/>
      <c r="S854" s="92"/>
      <c r="T854" s="92"/>
      <c r="U854" s="305">
        <f t="shared" si="2362"/>
        <v>0</v>
      </c>
      <c r="V854" s="989"/>
      <c r="W854" s="92"/>
      <c r="X854" s="92"/>
      <c r="Y854" s="92"/>
      <c r="Z854" s="305">
        <f t="shared" si="2363"/>
        <v>0</v>
      </c>
      <c r="AA854" s="989"/>
      <c r="AB854" s="92"/>
      <c r="AC854" s="92"/>
      <c r="AD854" s="92"/>
      <c r="AE854" s="305">
        <f t="shared" si="2352"/>
        <v>0</v>
      </c>
      <c r="AF854" s="989"/>
      <c r="AG854" s="92"/>
      <c r="AH854" s="92"/>
      <c r="AI854" s="92"/>
      <c r="AJ854" s="305">
        <f t="shared" si="2353"/>
        <v>0</v>
      </c>
      <c r="AK854" s="989"/>
      <c r="AL854" s="92"/>
      <c r="AM854" s="92"/>
      <c r="AN854" s="92"/>
      <c r="AO854" s="92">
        <f t="shared" si="2354"/>
        <v>0</v>
      </c>
      <c r="AP854" s="989"/>
      <c r="AQ854" s="92"/>
      <c r="AR854" s="92"/>
      <c r="AS854" s="92"/>
      <c r="AT854" s="92">
        <f t="shared" si="2355"/>
        <v>0</v>
      </c>
      <c r="AU854" s="989"/>
      <c r="AV854" s="92"/>
      <c r="AW854" s="92"/>
      <c r="AX854" s="92"/>
      <c r="AY854" s="92">
        <f t="shared" si="2356"/>
        <v>0</v>
      </c>
      <c r="AZ854" s="989"/>
      <c r="BA854" s="92"/>
      <c r="BB854" s="92"/>
      <c r="BC854" s="92"/>
      <c r="BD854" s="92">
        <f t="shared" si="2357"/>
        <v>0</v>
      </c>
      <c r="BE854" s="989"/>
      <c r="BF854" s="92"/>
      <c r="BG854" s="92"/>
      <c r="BH854" s="464"/>
      <c r="BI854" s="92">
        <f t="shared" si="2358"/>
        <v>0</v>
      </c>
      <c r="BJ854" s="989"/>
      <c r="BK854" s="92"/>
      <c r="BL854" s="92"/>
      <c r="BM854" s="92"/>
      <c r="BN854" s="92">
        <f t="shared" si="2359"/>
        <v>0</v>
      </c>
      <c r="BO854" s="989"/>
      <c r="BP854" s="989"/>
      <c r="BQ854" s="989"/>
      <c r="BR854" s="989"/>
      <c r="BS854" s="305"/>
    </row>
    <row r="855" spans="1:71" s="51" customFormat="1" ht="15" hidden="1" outlineLevel="1">
      <c r="A855" s="87" t="s">
        <v>161</v>
      </c>
      <c r="B855" s="506"/>
      <c r="C855" s="996">
        <f t="shared" si="2364" ref="C855:AU855">SUM(C842:C854)</f>
        <v>-7544</v>
      </c>
      <c r="D855" s="996">
        <f t="shared" si="2364"/>
        <v>-6071</v>
      </c>
      <c r="E855" s="996">
        <f t="shared" si="2364"/>
        <v>-7876</v>
      </c>
      <c r="F855" s="996">
        <f t="shared" si="2364"/>
        <v>-4605</v>
      </c>
      <c r="G855" s="996">
        <f t="shared" si="2364"/>
        <v>-5953</v>
      </c>
      <c r="H855" s="89">
        <f t="shared" si="2364"/>
        <v>-1355</v>
      </c>
      <c r="I855" s="89">
        <f t="shared" si="2364"/>
        <v>-2008</v>
      </c>
      <c r="J855" s="89">
        <f t="shared" si="2364"/>
        <v>-4339</v>
      </c>
      <c r="K855" s="89">
        <f t="shared" si="2364"/>
        <v>-4875</v>
      </c>
      <c r="L855" s="996">
        <f t="shared" si="2364"/>
        <v>-4875</v>
      </c>
      <c r="M855" s="89">
        <f t="shared" si="2364"/>
        <v>-1380</v>
      </c>
      <c r="N855" s="89">
        <f t="shared" si="2364"/>
        <v>-2209</v>
      </c>
      <c r="O855" s="89">
        <f t="shared" si="2364"/>
        <v>-3533</v>
      </c>
      <c r="P855" s="89">
        <f t="shared" si="2364"/>
        <v>-4520</v>
      </c>
      <c r="Q855" s="996">
        <f t="shared" si="2364"/>
        <v>-4520</v>
      </c>
      <c r="R855" s="89">
        <f t="shared" si="2364"/>
        <v>-774</v>
      </c>
      <c r="S855" s="89">
        <f t="shared" si="2364"/>
        <v>-1583</v>
      </c>
      <c r="T855" s="89">
        <f t="shared" si="2364"/>
        <v>-2190</v>
      </c>
      <c r="U855" s="89">
        <f t="shared" si="2364"/>
        <v>-1526</v>
      </c>
      <c r="V855" s="996">
        <f t="shared" si="2364"/>
        <v>-1526</v>
      </c>
      <c r="W855" s="89">
        <f t="shared" si="2364"/>
        <v>-571</v>
      </c>
      <c r="X855" s="89">
        <f t="shared" si="2364"/>
        <v>-1359</v>
      </c>
      <c r="Y855" s="89">
        <f t="shared" si="2364"/>
        <v>-1890</v>
      </c>
      <c r="Z855" s="89">
        <f t="shared" si="2364"/>
        <v>-2923</v>
      </c>
      <c r="AA855" s="996">
        <f t="shared" si="2364"/>
        <v>-2923</v>
      </c>
      <c r="AB855" s="89">
        <f t="shared" si="2364"/>
        <v>458</v>
      </c>
      <c r="AC855" s="89">
        <f t="shared" si="2364"/>
        <v>-907</v>
      </c>
      <c r="AD855" s="89">
        <f t="shared" si="2364"/>
        <v>-1519</v>
      </c>
      <c r="AE855" s="89">
        <f t="shared" si="2364"/>
        <v>-3574</v>
      </c>
      <c r="AF855" s="996">
        <f t="shared" si="2364"/>
        <v>-3574</v>
      </c>
      <c r="AG855" s="89">
        <f t="shared" si="2364"/>
        <v>-399</v>
      </c>
      <c r="AH855" s="89">
        <f t="shared" si="2364"/>
        <v>-820</v>
      </c>
      <c r="AI855" s="89">
        <f t="shared" si="2364"/>
        <v>-572</v>
      </c>
      <c r="AJ855" s="89">
        <f t="shared" si="2364"/>
        <v>-2483</v>
      </c>
      <c r="AK855" s="996">
        <f t="shared" si="2364"/>
        <v>-2483</v>
      </c>
      <c r="AL855" s="89">
        <f>SUM(AL842:AL854)</f>
        <v>-1095</v>
      </c>
      <c r="AM855" s="89">
        <f>SUM(AM842:AM854)</f>
        <v>-1709</v>
      </c>
      <c r="AN855" s="89">
        <f>SUM(AN842:AN854)</f>
        <v>-2897</v>
      </c>
      <c r="AO855" s="90">
        <f t="shared" si="2364"/>
        <v>-2011</v>
      </c>
      <c r="AP855" s="997">
        <f t="shared" si="2364"/>
        <v>-2011</v>
      </c>
      <c r="AQ855" s="89">
        <f>SUM(AQ842:AQ854)</f>
        <v>-1480</v>
      </c>
      <c r="AR855" s="89">
        <f>SUM(AR842:AR854)</f>
        <v>-2322</v>
      </c>
      <c r="AS855" s="89">
        <f>SUM(AS842:AS854)</f>
        <v>-4065</v>
      </c>
      <c r="AT855" s="90">
        <f t="shared" si="2364"/>
        <v>-5240</v>
      </c>
      <c r="AU855" s="997">
        <f t="shared" si="2364"/>
        <v>-5240</v>
      </c>
      <c r="AV855" s="89">
        <f t="shared" si="2365" ref="AV855:BJ855">SUM(AV842:AV854)</f>
        <v>-1046</v>
      </c>
      <c r="AW855" s="89">
        <f t="shared" si="2365"/>
        <v>-1964</v>
      </c>
      <c r="AX855" s="89">
        <f t="shared" si="2365"/>
        <v>-2847</v>
      </c>
      <c r="AY855" s="90">
        <f t="shared" si="2365"/>
        <v>-3420</v>
      </c>
      <c r="AZ855" s="997">
        <f t="shared" si="2365"/>
        <v>-3420</v>
      </c>
      <c r="BA855" s="89">
        <f>SUM(BA842:BA854)</f>
        <v>121</v>
      </c>
      <c r="BB855" s="89">
        <f>SUM(BB842:BB854)</f>
        <v>-758</v>
      </c>
      <c r="BC855" s="89">
        <f>SUM(BC842:BC854)</f>
        <v>-985</v>
      </c>
      <c r="BD855" s="90">
        <f t="shared" si="2365"/>
        <v>-1243</v>
      </c>
      <c r="BE855" s="997">
        <f t="shared" si="2365"/>
        <v>-1243</v>
      </c>
      <c r="BF855" s="90">
        <f>SUM(BF842:BF854)</f>
        <v>-166</v>
      </c>
      <c r="BG855" s="90">
        <f>SUM(BG842:BG854)</f>
        <v>-252</v>
      </c>
      <c r="BH855" s="742">
        <f>SUM(BH842:BH854)</f>
        <v>-437</v>
      </c>
      <c r="BI855" s="90">
        <f>SUM(BI842:BI854)</f>
        <v>0</v>
      </c>
      <c r="BJ855" s="997">
        <f t="shared" si="2365"/>
        <v>0</v>
      </c>
      <c r="BK855" s="90">
        <f t="shared" si="2366" ref="BK855:BR855">SUM(BK842:BK854)</f>
        <v>0</v>
      </c>
      <c r="BL855" s="90">
        <f t="shared" si="2366"/>
        <v>0</v>
      </c>
      <c r="BM855" s="90">
        <f t="shared" si="2366"/>
        <v>0</v>
      </c>
      <c r="BN855" s="90">
        <f t="shared" si="2366"/>
        <v>0</v>
      </c>
      <c r="BO855" s="997">
        <f t="shared" si="2366"/>
        <v>0</v>
      </c>
      <c r="BP855" s="997">
        <f t="shared" si="2366"/>
        <v>0</v>
      </c>
      <c r="BQ855" s="997">
        <f t="shared" si="2366"/>
        <v>0</v>
      </c>
      <c r="BR855" s="997">
        <f t="shared" si="2366"/>
        <v>0</v>
      </c>
      <c r="BS855" s="57"/>
    </row>
    <row r="856" spans="1:71" s="51" customFormat="1" ht="15" hidden="1" outlineLevel="1">
      <c r="A856" s="480"/>
      <c r="B856" s="483"/>
      <c r="C856" s="1000"/>
      <c r="D856" s="1000"/>
      <c r="E856" s="1000"/>
      <c r="F856" s="1000"/>
      <c r="G856" s="1000"/>
      <c r="H856" s="128"/>
      <c r="I856" s="128"/>
      <c r="J856" s="128"/>
      <c r="K856" s="128"/>
      <c r="L856" s="1000"/>
      <c r="M856" s="128"/>
      <c r="N856" s="128"/>
      <c r="O856" s="128"/>
      <c r="P856" s="128"/>
      <c r="Q856" s="1000"/>
      <c r="R856" s="128"/>
      <c r="S856" s="128"/>
      <c r="T856" s="128"/>
      <c r="U856" s="128"/>
      <c r="V856" s="1000"/>
      <c r="W856" s="128"/>
      <c r="X856" s="128"/>
      <c r="Y856" s="128"/>
      <c r="Z856" s="128"/>
      <c r="AA856" s="1000"/>
      <c r="AB856" s="128"/>
      <c r="AC856" s="128"/>
      <c r="AD856" s="128"/>
      <c r="AE856" s="128"/>
      <c r="AF856" s="1000"/>
      <c r="AG856" s="128"/>
      <c r="AH856" s="128"/>
      <c r="AI856" s="128"/>
      <c r="AJ856" s="128"/>
      <c r="AK856" s="1000"/>
      <c r="AL856" s="128"/>
      <c r="AM856" s="128"/>
      <c r="AN856" s="128"/>
      <c r="AO856" s="128"/>
      <c r="AP856" s="1000"/>
      <c r="AQ856" s="128"/>
      <c r="AR856" s="128"/>
      <c r="AS856" s="128"/>
      <c r="AT856" s="128"/>
      <c r="AU856" s="1000"/>
      <c r="AV856" s="128"/>
      <c r="AW856" s="128"/>
      <c r="AX856" s="128"/>
      <c r="AY856" s="128"/>
      <c r="AZ856" s="1000"/>
      <c r="BA856" s="128"/>
      <c r="BB856" s="128"/>
      <c r="BC856" s="128"/>
      <c r="BD856" s="128"/>
      <c r="BE856" s="1000"/>
      <c r="BF856" s="128"/>
      <c r="BG856" s="128"/>
      <c r="BH856" s="465"/>
      <c r="BI856" s="128"/>
      <c r="BJ856" s="1000"/>
      <c r="BK856" s="128"/>
      <c r="BL856" s="128"/>
      <c r="BM856" s="128"/>
      <c r="BN856" s="128"/>
      <c r="BO856" s="1000"/>
      <c r="BP856" s="1000"/>
      <c r="BQ856" s="1000"/>
      <c r="BR856" s="1000"/>
      <c r="BS856" s="57"/>
    </row>
    <row r="857" spans="1:71" s="300" customFormat="1" ht="15" hidden="1" outlineLevel="1">
      <c r="A857" s="226" t="s">
        <v>162</v>
      </c>
      <c r="B857" s="166"/>
      <c r="C857" s="989"/>
      <c r="D857" s="989"/>
      <c r="E857" s="989"/>
      <c r="F857" s="989"/>
      <c r="G857" s="989"/>
      <c r="H857" s="92"/>
      <c r="I857" s="92"/>
      <c r="J857" s="92"/>
      <c r="K857" s="305">
        <f>L857</f>
        <v>0</v>
      </c>
      <c r="L857" s="989"/>
      <c r="M857" s="92"/>
      <c r="N857" s="92"/>
      <c r="O857" s="92"/>
      <c r="P857" s="305">
        <f>Q857</f>
        <v>0</v>
      </c>
      <c r="Q857" s="989"/>
      <c r="R857" s="92"/>
      <c r="S857" s="92"/>
      <c r="T857" s="92"/>
      <c r="U857" s="305">
        <f>V857</f>
        <v>0</v>
      </c>
      <c r="V857" s="989"/>
      <c r="W857" s="92"/>
      <c r="X857" s="92"/>
      <c r="Y857" s="92"/>
      <c r="Z857" s="305">
        <f>AA857</f>
        <v>0</v>
      </c>
      <c r="AA857" s="989"/>
      <c r="AB857" s="92"/>
      <c r="AC857" s="92"/>
      <c r="AD857" s="92"/>
      <c r="AE857" s="305">
        <f>AF857</f>
        <v>0</v>
      </c>
      <c r="AF857" s="989"/>
      <c r="AG857" s="92"/>
      <c r="AH857" s="92"/>
      <c r="AI857" s="92"/>
      <c r="AJ857" s="305">
        <f>AK857</f>
        <v>0</v>
      </c>
      <c r="AK857" s="989"/>
      <c r="AL857" s="92"/>
      <c r="AM857" s="92"/>
      <c r="AN857" s="92"/>
      <c r="AO857" s="92">
        <f>AP857</f>
        <v>0</v>
      </c>
      <c r="AP857" s="989"/>
      <c r="AQ857" s="92"/>
      <c r="AR857" s="92"/>
      <c r="AS857" s="92"/>
      <c r="AT857" s="92">
        <f>AU857</f>
        <v>0</v>
      </c>
      <c r="AU857" s="989"/>
      <c r="AV857" s="92"/>
      <c r="AW857" s="92"/>
      <c r="AX857" s="92"/>
      <c r="AY857" s="92">
        <f>AZ857</f>
        <v>0</v>
      </c>
      <c r="AZ857" s="989"/>
      <c r="BA857" s="92"/>
      <c r="BB857" s="92"/>
      <c r="BC857" s="92"/>
      <c r="BD857" s="92">
        <f>BE857</f>
        <v>0</v>
      </c>
      <c r="BE857" s="989"/>
      <c r="BF857" s="92"/>
      <c r="BG857" s="92"/>
      <c r="BH857" s="464"/>
      <c r="BI857" s="92">
        <f>BJ857</f>
        <v>0</v>
      </c>
      <c r="BJ857" s="989"/>
      <c r="BK857" s="92"/>
      <c r="BL857" s="92"/>
      <c r="BM857" s="92"/>
      <c r="BN857" s="92">
        <f>BO857</f>
        <v>0</v>
      </c>
      <c r="BO857" s="989"/>
      <c r="BP857" s="989"/>
      <c r="BQ857" s="989"/>
      <c r="BR857" s="989"/>
      <c r="BS857" s="305"/>
    </row>
    <row r="858" spans="1:71" s="51" customFormat="1" ht="15" hidden="1" outlineLevel="1">
      <c r="A858" s="109" t="s">
        <v>163</v>
      </c>
      <c r="B858" s="483"/>
      <c r="C858" s="999">
        <f t="shared" si="2367" ref="C858:AK858">C855+C839+C817+C857</f>
        <v>197</v>
      </c>
      <c r="D858" s="999">
        <f t="shared" si="2367"/>
        <v>-50</v>
      </c>
      <c r="E858" s="999">
        <f t="shared" si="2367"/>
        <v>214</v>
      </c>
      <c r="F858" s="999">
        <f t="shared" si="2367"/>
        <v>30</v>
      </c>
      <c r="G858" s="999">
        <f t="shared" si="2367"/>
        <v>-131</v>
      </c>
      <c r="H858" s="57">
        <f t="shared" si="2367"/>
        <v>495</v>
      </c>
      <c r="I858" s="57">
        <f t="shared" si="2367"/>
        <v>214</v>
      </c>
      <c r="J858" s="57">
        <f t="shared" si="2367"/>
        <v>210</v>
      </c>
      <c r="K858" s="57">
        <f t="shared" si="2367"/>
        <v>-18</v>
      </c>
      <c r="L858" s="999">
        <f t="shared" si="2367"/>
        <v>-18</v>
      </c>
      <c r="M858" s="57">
        <f t="shared" si="2367"/>
        <v>259</v>
      </c>
      <c r="N858" s="57">
        <f t="shared" si="2367"/>
        <v>148</v>
      </c>
      <c r="O858" s="57">
        <f t="shared" si="2367"/>
        <v>248</v>
      </c>
      <c r="P858" s="57">
        <f t="shared" si="2367"/>
        <v>-162</v>
      </c>
      <c r="Q858" s="999">
        <f t="shared" si="2367"/>
        <v>-162</v>
      </c>
      <c r="R858" s="57">
        <f t="shared" si="2367"/>
        <v>36</v>
      </c>
      <c r="S858" s="57">
        <f t="shared" si="2367"/>
        <v>-49</v>
      </c>
      <c r="T858" s="57">
        <f t="shared" si="2367"/>
        <v>-106</v>
      </c>
      <c r="U858" s="57">
        <f t="shared" si="2367"/>
        <v>-59</v>
      </c>
      <c r="V858" s="999">
        <f t="shared" si="2367"/>
        <v>-59</v>
      </c>
      <c r="W858" s="57">
        <f t="shared" si="2367"/>
        <v>6</v>
      </c>
      <c r="X858" s="57">
        <f t="shared" si="2367"/>
        <v>46</v>
      </c>
      <c r="Y858" s="57">
        <f t="shared" si="2367"/>
        <v>254</v>
      </c>
      <c r="Z858" s="57">
        <f t="shared" si="2367"/>
        <v>181</v>
      </c>
      <c r="AA858" s="999">
        <f t="shared" si="2367"/>
        <v>181</v>
      </c>
      <c r="AB858" s="57">
        <f t="shared" si="2367"/>
        <v>-167</v>
      </c>
      <c r="AC858" s="57">
        <f t="shared" si="2367"/>
        <v>-128</v>
      </c>
      <c r="AD858" s="57">
        <f t="shared" si="2367"/>
        <v>-157</v>
      </c>
      <c r="AE858" s="57">
        <f t="shared" si="2367"/>
        <v>-118</v>
      </c>
      <c r="AF858" s="999">
        <f t="shared" si="2367"/>
        <v>-118</v>
      </c>
      <c r="AG858" s="57">
        <f t="shared" si="2367"/>
        <v>52</v>
      </c>
      <c r="AH858" s="57">
        <f t="shared" si="2367"/>
        <v>100</v>
      </c>
      <c r="AI858" s="57">
        <f t="shared" si="2367"/>
        <v>88</v>
      </c>
      <c r="AJ858" s="57">
        <f t="shared" si="2367"/>
        <v>-161</v>
      </c>
      <c r="AK858" s="999">
        <f t="shared" si="2367"/>
        <v>-161</v>
      </c>
      <c r="AL858" s="57">
        <f>AL855+AL839+AL817+AL857</f>
        <v>0</v>
      </c>
      <c r="AM858" s="57">
        <f>AM855+AM839+AM817+AM857</f>
        <v>209</v>
      </c>
      <c r="AN858" s="57">
        <f>AN855+AN839+AN817+AN857</f>
        <v>32</v>
      </c>
      <c r="AO858" s="128">
        <f t="shared" si="2368" ref="AO858:AP858">AO855+AO839+AO817+AO857</f>
        <v>39</v>
      </c>
      <c r="AP858" s="1000">
        <f t="shared" si="2368"/>
        <v>39</v>
      </c>
      <c r="AQ858" s="57">
        <f>AQ855+AQ839+AQ817+AQ857</f>
        <v>421</v>
      </c>
      <c r="AR858" s="57">
        <f>AR855+AR839+AR817+AR857</f>
        <v>437</v>
      </c>
      <c r="AS858" s="57">
        <f>AS855+AS839+AS817+AS857</f>
        <v>469</v>
      </c>
      <c r="AT858" s="128">
        <f t="shared" si="2369" ref="AT858:AU858">AT855+AT839+AT817+AT857</f>
        <v>386</v>
      </c>
      <c r="AU858" s="1000">
        <f t="shared" si="2369"/>
        <v>386</v>
      </c>
      <c r="AV858" s="57">
        <f>AV855+AV839+AV817+AV857</f>
        <v>367</v>
      </c>
      <c r="AW858" s="57">
        <f>AW855+AW839+AW817+AW857</f>
        <v>3</v>
      </c>
      <c r="AX858" s="57">
        <f>AX855+AX839+AX817+AX857</f>
        <v>23</v>
      </c>
      <c r="AY858" s="128">
        <f>$AY$862-$AY$861</f>
        <v>-27</v>
      </c>
      <c r="AZ858" s="1000">
        <f>$AZ$862-$AZ$861</f>
        <v>-27</v>
      </c>
      <c r="BA858" s="57">
        <f>BA855+BA839+BA817+BA857</f>
        <v>-74</v>
      </c>
      <c r="BB858" s="57">
        <f>BB855+BB839+BB817+BB857</f>
        <v>-37</v>
      </c>
      <c r="BC858" s="57">
        <f>BC855+BC839+BC817+BC857</f>
        <v>124</v>
      </c>
      <c r="BD858" s="128">
        <f>$BD$862-$BD$861</f>
        <v>-14</v>
      </c>
      <c r="BE858" s="1000">
        <f>$BE$862-$BE$861</f>
        <v>-14</v>
      </c>
      <c r="BF858" s="128">
        <f>BF855+BF839+BF817+BF857</f>
        <v>128</v>
      </c>
      <c r="BG858" s="128">
        <f>$BG$862-$BG$861</f>
        <v>-123</v>
      </c>
      <c r="BH858" s="745">
        <f>BH855+BH839+BH817+BH857</f>
        <v>208</v>
      </c>
      <c r="BI858" s="128">
        <f>BI855+BI839+BI817+BI857</f>
        <v>0</v>
      </c>
      <c r="BJ858" s="1000">
        <f t="shared" si="2370" ref="BJ858">BJ855+BJ839+BJ817+BJ857</f>
        <v>0</v>
      </c>
      <c r="BK858" s="128">
        <f t="shared" si="2371" ref="BK858:BR858">BK855+BK839+BK817+BK857</f>
        <v>0</v>
      </c>
      <c r="BL858" s="128">
        <f t="shared" si="2371"/>
        <v>0</v>
      </c>
      <c r="BM858" s="128">
        <f t="shared" si="2371"/>
        <v>0</v>
      </c>
      <c r="BN858" s="128">
        <f t="shared" si="2371"/>
        <v>0</v>
      </c>
      <c r="BO858" s="1000">
        <f t="shared" si="2371"/>
        <v>0</v>
      </c>
      <c r="BP858" s="1000">
        <f t="shared" si="2371"/>
        <v>0</v>
      </c>
      <c r="BQ858" s="1000">
        <f t="shared" si="2371"/>
        <v>0</v>
      </c>
      <c r="BR858" s="1000">
        <f t="shared" si="2371"/>
        <v>0</v>
      </c>
      <c r="BS858" s="57"/>
    </row>
    <row r="859" spans="1:71" s="51" customFormat="1" ht="15" hidden="1" outlineLevel="1">
      <c r="A859" s="109" t="s">
        <v>661</v>
      </c>
      <c r="B859" s="483"/>
      <c r="C859" s="1000"/>
      <c r="D859" s="1000"/>
      <c r="E859" s="1000"/>
      <c r="F859" s="1000"/>
      <c r="G859" s="1000"/>
      <c r="H859" s="128"/>
      <c r="I859" s="128"/>
      <c r="J859" s="128"/>
      <c r="K859" s="128"/>
      <c r="L859" s="1000"/>
      <c r="M859" s="128"/>
      <c r="N859" s="128"/>
      <c r="O859" s="128"/>
      <c r="P859" s="128"/>
      <c r="Q859" s="1000"/>
      <c r="R859" s="128"/>
      <c r="S859" s="128"/>
      <c r="T859" s="128"/>
      <c r="U859" s="128"/>
      <c r="V859" s="1000"/>
      <c r="W859" s="128"/>
      <c r="X859" s="128"/>
      <c r="Y859" s="128"/>
      <c r="Z859" s="128"/>
      <c r="AA859" s="1000"/>
      <c r="AB859" s="128"/>
      <c r="AC859" s="128"/>
      <c r="AD859" s="128"/>
      <c r="AE859" s="128"/>
      <c r="AF859" s="1000"/>
      <c r="AG859" s="128"/>
      <c r="AH859" s="128"/>
      <c r="AI859" s="128"/>
      <c r="AJ859" s="128"/>
      <c r="AK859" s="1000"/>
      <c r="AL859" s="128"/>
      <c r="AM859" s="128"/>
      <c r="AN859" s="128"/>
      <c r="AO859" s="128"/>
      <c r="AP859" s="1000"/>
      <c r="AQ859" s="922">
        <v>89</v>
      </c>
      <c r="AR859" s="922">
        <v>158</v>
      </c>
      <c r="AS859" s="922">
        <v>156</v>
      </c>
      <c r="AT859" s="128">
        <f>AU859</f>
        <v>0</v>
      </c>
      <c r="AU859" s="1031">
        <v>0</v>
      </c>
      <c r="AV859" s="922">
        <v>0</v>
      </c>
      <c r="AW859" s="922">
        <v>0</v>
      </c>
      <c r="AX859" s="922">
        <v>0</v>
      </c>
      <c r="AY859" s="128">
        <f>AZ859</f>
        <v>0</v>
      </c>
      <c r="AZ859" s="1000"/>
      <c r="BA859" s="128"/>
      <c r="BB859" s="128"/>
      <c r="BC859" s="128"/>
      <c r="BD859" s="128"/>
      <c r="BE859" s="1000"/>
      <c r="BF859" s="128"/>
      <c r="BG859" s="128"/>
      <c r="BH859" s="924">
        <v>114</v>
      </c>
      <c r="BI859" s="128"/>
      <c r="BJ859" s="1000"/>
      <c r="BK859" s="128"/>
      <c r="BL859" s="128"/>
      <c r="BM859" s="128"/>
      <c r="BN859" s="128"/>
      <c r="BO859" s="1000"/>
      <c r="BP859" s="1000"/>
      <c r="BQ859" s="1000"/>
      <c r="BR859" s="1000"/>
      <c r="BS859" s="57"/>
    </row>
    <row r="860" spans="1:71" s="17" customFormat="1" ht="15" hidden="1" outlineLevel="1">
      <c r="A860" s="492"/>
      <c r="B860" s="509"/>
      <c r="C860" s="1027"/>
      <c r="D860" s="1027"/>
      <c r="E860" s="1027"/>
      <c r="F860" s="1027"/>
      <c r="G860" s="1027"/>
      <c r="H860" s="843"/>
      <c r="I860" s="843"/>
      <c r="J860" s="843"/>
      <c r="K860" s="843"/>
      <c r="L860" s="1027"/>
      <c r="M860" s="843"/>
      <c r="N860" s="843"/>
      <c r="O860" s="843"/>
      <c r="P860" s="843"/>
      <c r="Q860" s="1027"/>
      <c r="R860" s="843"/>
      <c r="S860" s="843"/>
      <c r="T860" s="843"/>
      <c r="U860" s="843"/>
      <c r="V860" s="1027"/>
      <c r="W860" s="843"/>
      <c r="X860" s="843"/>
      <c r="Y860" s="843"/>
      <c r="Z860" s="843"/>
      <c r="AA860" s="1027"/>
      <c r="AB860" s="843"/>
      <c r="AC860" s="843"/>
      <c r="AD860" s="843"/>
      <c r="AE860" s="843"/>
      <c r="AF860" s="1027"/>
      <c r="AG860" s="843"/>
      <c r="AH860" s="843"/>
      <c r="AI860" s="843"/>
      <c r="AJ860" s="843"/>
      <c r="AK860" s="1027"/>
      <c r="AL860" s="843"/>
      <c r="AM860" s="843"/>
      <c r="AN860" s="843"/>
      <c r="AO860" s="843"/>
      <c r="AP860" s="1027"/>
      <c r="AQ860" s="843"/>
      <c r="AR860" s="843"/>
      <c r="AS860" s="843"/>
      <c r="AT860" s="843"/>
      <c r="AU860" s="1027"/>
      <c r="AV860" s="843"/>
      <c r="AW860" s="843"/>
      <c r="AX860" s="843"/>
      <c r="AY860" s="843"/>
      <c r="AZ860" s="1027"/>
      <c r="BA860" s="843"/>
      <c r="BB860" s="843"/>
      <c r="BC860" s="843"/>
      <c r="BD860" s="843"/>
      <c r="BE860" s="1027"/>
      <c r="BF860" s="843"/>
      <c r="BG860" s="843"/>
      <c r="BH860" s="844"/>
      <c r="BI860" s="843"/>
      <c r="BJ860" s="1027"/>
      <c r="BK860" s="843"/>
      <c r="BL860" s="843"/>
      <c r="BM860" s="843"/>
      <c r="BN860" s="843"/>
      <c r="BO860" s="1027"/>
      <c r="BP860" s="1027"/>
      <c r="BQ860" s="1027"/>
      <c r="BR860" s="1027"/>
      <c r="BS860" s="457"/>
    </row>
    <row r="861" spans="1:71" s="51" customFormat="1" ht="15" hidden="1" outlineLevel="1">
      <c r="A861" s="109" t="s">
        <v>164</v>
      </c>
      <c r="B861" s="483"/>
      <c r="C861" s="1031">
        <v>415</v>
      </c>
      <c r="D861" s="999">
        <f>C862</f>
        <v>612</v>
      </c>
      <c r="E861" s="999">
        <f>D862</f>
        <v>562</v>
      </c>
      <c r="F861" s="999">
        <f>E862</f>
        <v>776</v>
      </c>
      <c r="G861" s="999">
        <f>F862</f>
        <v>806</v>
      </c>
      <c r="H861" s="57">
        <f>G862</f>
        <v>675</v>
      </c>
      <c r="I861" s="57">
        <f>H861</f>
        <v>675</v>
      </c>
      <c r="J861" s="57">
        <f>I861</f>
        <v>675</v>
      </c>
      <c r="K861" s="57">
        <f>J861</f>
        <v>675</v>
      </c>
      <c r="L861" s="999">
        <f>K861</f>
        <v>675</v>
      </c>
      <c r="M861" s="57">
        <f>L862</f>
        <v>657</v>
      </c>
      <c r="N861" s="57">
        <f>M861</f>
        <v>657</v>
      </c>
      <c r="O861" s="57">
        <f>N861</f>
        <v>657</v>
      </c>
      <c r="P861" s="57">
        <f>O861</f>
        <v>657</v>
      </c>
      <c r="Q861" s="999">
        <f>P861</f>
        <v>657</v>
      </c>
      <c r="R861" s="57">
        <f>Q862</f>
        <v>495</v>
      </c>
      <c r="S861" s="57">
        <f>R861</f>
        <v>495</v>
      </c>
      <c r="T861" s="57">
        <f>S861</f>
        <v>495</v>
      </c>
      <c r="U861" s="57">
        <f>T861</f>
        <v>495</v>
      </c>
      <c r="V861" s="999">
        <f>U861</f>
        <v>495</v>
      </c>
      <c r="W861" s="57">
        <f>V862</f>
        <v>436</v>
      </c>
      <c r="X861" s="57">
        <f>W861</f>
        <v>436</v>
      </c>
      <c r="Y861" s="57">
        <f>X861</f>
        <v>436</v>
      </c>
      <c r="Z861" s="57">
        <f>Y861</f>
        <v>436</v>
      </c>
      <c r="AA861" s="999">
        <f>Z861</f>
        <v>436</v>
      </c>
      <c r="AB861" s="57">
        <f>AA862</f>
        <v>617</v>
      </c>
      <c r="AC861" s="57">
        <f>AB861</f>
        <v>617</v>
      </c>
      <c r="AD861" s="57">
        <f>AC861</f>
        <v>617</v>
      </c>
      <c r="AE861" s="57">
        <f>AD861</f>
        <v>617</v>
      </c>
      <c r="AF861" s="999">
        <f>AE861</f>
        <v>617</v>
      </c>
      <c r="AG861" s="57">
        <f>AF862</f>
        <v>499</v>
      </c>
      <c r="AH861" s="57">
        <f>AG861</f>
        <v>499</v>
      </c>
      <c r="AI861" s="57">
        <f>AH861</f>
        <v>499</v>
      </c>
      <c r="AJ861" s="57">
        <f>AI861</f>
        <v>499</v>
      </c>
      <c r="AK861" s="999">
        <f>AJ861</f>
        <v>499</v>
      </c>
      <c r="AL861" s="57">
        <f>AK862</f>
        <v>338</v>
      </c>
      <c r="AM861" s="57">
        <f>AL861</f>
        <v>338</v>
      </c>
      <c r="AN861" s="57">
        <f>AM861</f>
        <v>338</v>
      </c>
      <c r="AO861" s="128">
        <f>AN861</f>
        <v>338</v>
      </c>
      <c r="AP861" s="1000">
        <f>AO861</f>
        <v>338</v>
      </c>
      <c r="AQ861" s="57">
        <f>AP862</f>
        <v>377</v>
      </c>
      <c r="AR861" s="57">
        <f>AQ861</f>
        <v>377</v>
      </c>
      <c r="AS861" s="57">
        <f>AR861</f>
        <v>377</v>
      </c>
      <c r="AT861" s="128">
        <f>AS861</f>
        <v>377</v>
      </c>
      <c r="AU861" s="1000">
        <f>AT861</f>
        <v>377</v>
      </c>
      <c r="AV861" s="57">
        <f>AU862</f>
        <v>763</v>
      </c>
      <c r="AW861" s="57">
        <f>AV861</f>
        <v>763</v>
      </c>
      <c r="AX861" s="57">
        <f>AW861</f>
        <v>763</v>
      </c>
      <c r="AY861" s="128">
        <f>AX861</f>
        <v>763</v>
      </c>
      <c r="AZ861" s="1000">
        <f>AY861</f>
        <v>763</v>
      </c>
      <c r="BA861" s="57">
        <f>AZ862</f>
        <v>736</v>
      </c>
      <c r="BB861" s="57">
        <f>BA861</f>
        <v>736</v>
      </c>
      <c r="BC861" s="57">
        <f>BB861</f>
        <v>736</v>
      </c>
      <c r="BD861" s="128">
        <f>BC861</f>
        <v>736</v>
      </c>
      <c r="BE861" s="1000">
        <f>BD861</f>
        <v>736</v>
      </c>
      <c r="BF861" s="128">
        <f>BE862</f>
        <v>722</v>
      </c>
      <c r="BG861" s="128">
        <f>BF861</f>
        <v>722</v>
      </c>
      <c r="BH861" s="745">
        <f>BG861</f>
        <v>722</v>
      </c>
      <c r="BI861" s="128"/>
      <c r="BJ861" s="1000"/>
      <c r="BK861" s="128"/>
      <c r="BL861" s="128"/>
      <c r="BM861" s="128"/>
      <c r="BN861" s="128"/>
      <c r="BO861" s="1000"/>
      <c r="BP861" s="1000"/>
      <c r="BQ861" s="1000"/>
      <c r="BR861" s="1000"/>
      <c r="BS861" s="57"/>
    </row>
    <row r="862" spans="1:71" s="51" customFormat="1" ht="15" hidden="1" outlineLevel="1">
      <c r="A862" s="109" t="s">
        <v>165</v>
      </c>
      <c r="B862" s="483"/>
      <c r="C862" s="999">
        <f t="shared" si="2372" ref="C862:AK862">C858+C861</f>
        <v>612</v>
      </c>
      <c r="D862" s="999">
        <f t="shared" si="2372"/>
        <v>562</v>
      </c>
      <c r="E862" s="999">
        <f t="shared" si="2372"/>
        <v>776</v>
      </c>
      <c r="F862" s="999">
        <f t="shared" si="2372"/>
        <v>806</v>
      </c>
      <c r="G862" s="999">
        <f t="shared" si="2372"/>
        <v>675</v>
      </c>
      <c r="H862" s="57">
        <f t="shared" si="2372"/>
        <v>1170</v>
      </c>
      <c r="I862" s="57">
        <f t="shared" si="2372"/>
        <v>889</v>
      </c>
      <c r="J862" s="57">
        <f t="shared" si="2372"/>
        <v>885</v>
      </c>
      <c r="K862" s="57">
        <f t="shared" si="2372"/>
        <v>657</v>
      </c>
      <c r="L862" s="999">
        <f t="shared" si="2372"/>
        <v>657</v>
      </c>
      <c r="M862" s="57">
        <f t="shared" si="2372"/>
        <v>916</v>
      </c>
      <c r="N862" s="57">
        <f t="shared" si="2372"/>
        <v>805</v>
      </c>
      <c r="O862" s="57">
        <f t="shared" si="2372"/>
        <v>905</v>
      </c>
      <c r="P862" s="57">
        <f t="shared" si="2372"/>
        <v>495</v>
      </c>
      <c r="Q862" s="999">
        <f t="shared" si="2372"/>
        <v>495</v>
      </c>
      <c r="R862" s="57">
        <f t="shared" si="2372"/>
        <v>531</v>
      </c>
      <c r="S862" s="57">
        <f t="shared" si="2372"/>
        <v>446</v>
      </c>
      <c r="T862" s="57">
        <f t="shared" si="2372"/>
        <v>389</v>
      </c>
      <c r="U862" s="57">
        <f t="shared" si="2372"/>
        <v>436</v>
      </c>
      <c r="V862" s="999">
        <f t="shared" si="2372"/>
        <v>436</v>
      </c>
      <c r="W862" s="57">
        <f t="shared" si="2372"/>
        <v>442</v>
      </c>
      <c r="X862" s="57">
        <f t="shared" si="2372"/>
        <v>482</v>
      </c>
      <c r="Y862" s="57">
        <f t="shared" si="2372"/>
        <v>690</v>
      </c>
      <c r="Z862" s="57">
        <f t="shared" si="2372"/>
        <v>617</v>
      </c>
      <c r="AA862" s="999">
        <f t="shared" si="2372"/>
        <v>617</v>
      </c>
      <c r="AB862" s="57">
        <f t="shared" si="2372"/>
        <v>450</v>
      </c>
      <c r="AC862" s="57">
        <f t="shared" si="2372"/>
        <v>489</v>
      </c>
      <c r="AD862" s="57">
        <f t="shared" si="2372"/>
        <v>460</v>
      </c>
      <c r="AE862" s="57">
        <f t="shared" si="2372"/>
        <v>499</v>
      </c>
      <c r="AF862" s="999">
        <f t="shared" si="2372"/>
        <v>499</v>
      </c>
      <c r="AG862" s="57">
        <f t="shared" si="2372"/>
        <v>551</v>
      </c>
      <c r="AH862" s="57">
        <f t="shared" si="2372"/>
        <v>599</v>
      </c>
      <c r="AI862" s="57">
        <f t="shared" si="2372"/>
        <v>587</v>
      </c>
      <c r="AJ862" s="57">
        <f t="shared" si="2372"/>
        <v>338</v>
      </c>
      <c r="AK862" s="999">
        <f t="shared" si="2372"/>
        <v>338</v>
      </c>
      <c r="AL862" s="57">
        <f>AL858+AL861</f>
        <v>338</v>
      </c>
      <c r="AM862" s="57">
        <f>AM858+AM861</f>
        <v>547</v>
      </c>
      <c r="AN862" s="57">
        <f>AN858+AN861</f>
        <v>370</v>
      </c>
      <c r="AO862" s="128">
        <f t="shared" si="2373" ref="AO862:AP862">AO858+AO861</f>
        <v>377</v>
      </c>
      <c r="AP862" s="1000">
        <f t="shared" si="2373"/>
        <v>377</v>
      </c>
      <c r="AQ862" s="57">
        <f>AQ858+AQ861-AQ859</f>
        <v>709</v>
      </c>
      <c r="AR862" s="57">
        <f>AR858+AR861-AR859</f>
        <v>656</v>
      </c>
      <c r="AS862" s="57">
        <f>AS858+AS861-AS859</f>
        <v>690</v>
      </c>
      <c r="AT862" s="128">
        <f>AT934</f>
        <v>763</v>
      </c>
      <c r="AU862" s="1000">
        <f>AU934</f>
        <v>763</v>
      </c>
      <c r="AV862" s="57">
        <f>AV858+AV861-AV859</f>
        <v>1130</v>
      </c>
      <c r="AW862" s="57">
        <f>AW858+AW861-AW859</f>
        <v>766</v>
      </c>
      <c r="AX862" s="57">
        <f>AX858+AX861-AX859</f>
        <v>786</v>
      </c>
      <c r="AY862" s="128">
        <f>AY934</f>
        <v>736</v>
      </c>
      <c r="AZ862" s="1000">
        <f>AZ934</f>
        <v>736</v>
      </c>
      <c r="BA862" s="57">
        <f>BA858+BA861-BA859</f>
        <v>662</v>
      </c>
      <c r="BB862" s="57">
        <f>BB858+BB861-BB859</f>
        <v>699</v>
      </c>
      <c r="BC862" s="57">
        <f>BC858+BC861-BC859</f>
        <v>860</v>
      </c>
      <c r="BD862" s="128">
        <f>BD934</f>
        <v>722</v>
      </c>
      <c r="BE862" s="1000">
        <f>BE934</f>
        <v>722</v>
      </c>
      <c r="BF862" s="128">
        <f>BF858+BF861-BF859</f>
        <v>850</v>
      </c>
      <c r="BG862" s="128">
        <f>BG934</f>
        <v>599</v>
      </c>
      <c r="BH862" s="745">
        <f>BH858+BH861-BH859</f>
        <v>816</v>
      </c>
      <c r="BI862" s="128"/>
      <c r="BJ862" s="1000"/>
      <c r="BK862" s="128"/>
      <c r="BL862" s="128"/>
      <c r="BM862" s="128"/>
      <c r="BN862" s="128"/>
      <c r="BO862" s="1000"/>
      <c r="BP862" s="1000"/>
      <c r="BQ862" s="1000"/>
      <c r="BR862" s="1000"/>
      <c r="BS862" s="57"/>
    </row>
    <row r="863" spans="1:71" s="51" customFormat="1" ht="15" hidden="1" outlineLevel="1">
      <c r="A863" s="480"/>
      <c r="B863" s="483"/>
      <c r="C863" s="1000"/>
      <c r="D863" s="1000"/>
      <c r="E863" s="1000"/>
      <c r="F863" s="1000"/>
      <c r="G863" s="1000"/>
      <c r="H863" s="128"/>
      <c r="I863" s="128"/>
      <c r="J863" s="128"/>
      <c r="K863" s="128"/>
      <c r="L863" s="1000"/>
      <c r="M863" s="128"/>
      <c r="N863" s="128"/>
      <c r="O863" s="128"/>
      <c r="P863" s="128"/>
      <c r="Q863" s="1000"/>
      <c r="R863" s="128"/>
      <c r="S863" s="128"/>
      <c r="T863" s="128"/>
      <c r="U863" s="128"/>
      <c r="V863" s="1000"/>
      <c r="W863" s="128"/>
      <c r="X863" s="128"/>
      <c r="Y863" s="128"/>
      <c r="Z863" s="128"/>
      <c r="AA863" s="1000"/>
      <c r="AB863" s="128"/>
      <c r="AC863" s="128"/>
      <c r="AD863" s="128"/>
      <c r="AE863" s="128"/>
      <c r="AF863" s="1000"/>
      <c r="AG863" s="128"/>
      <c r="AH863" s="128"/>
      <c r="AI863" s="128"/>
      <c r="AJ863" s="128"/>
      <c r="AK863" s="1000"/>
      <c r="AL863" s="128"/>
      <c r="AM863" s="128"/>
      <c r="AN863" s="128"/>
      <c r="AO863" s="128"/>
      <c r="AP863" s="1000"/>
      <c r="AQ863" s="128"/>
      <c r="AR863" s="128"/>
      <c r="AS863" s="128"/>
      <c r="AT863" s="128"/>
      <c r="AU863" s="1000"/>
      <c r="AV863" s="128"/>
      <c r="AW863" s="128"/>
      <c r="AX863" s="128"/>
      <c r="AY863" s="128"/>
      <c r="AZ863" s="1000"/>
      <c r="BA863" s="128"/>
      <c r="BB863" s="128"/>
      <c r="BC863" s="128"/>
      <c r="BD863" s="128"/>
      <c r="BE863" s="1000"/>
      <c r="BF863" s="128"/>
      <c r="BG863" s="128"/>
      <c r="BH863" s="465"/>
      <c r="BI863" s="128"/>
      <c r="BJ863" s="1000"/>
      <c r="BK863" s="128"/>
      <c r="BL863" s="128"/>
      <c r="BM863" s="128"/>
      <c r="BN863" s="128"/>
      <c r="BO863" s="1000"/>
      <c r="BP863" s="1000"/>
      <c r="BQ863" s="1000"/>
      <c r="BR863" s="1000"/>
      <c r="BS863" s="57"/>
    </row>
    <row r="864" spans="1:71" s="300" customFormat="1" ht="15" hidden="1" outlineLevel="1">
      <c r="A864" s="226" t="s">
        <v>911</v>
      </c>
      <c r="B864" s="166"/>
      <c r="C864" s="988">
        <v>383</v>
      </c>
      <c r="D864" s="988">
        <v>363</v>
      </c>
      <c r="E864" s="988">
        <v>363</v>
      </c>
      <c r="F864" s="988">
        <v>366</v>
      </c>
      <c r="G864" s="988">
        <v>361</v>
      </c>
      <c r="H864" s="92"/>
      <c r="I864" s="92"/>
      <c r="J864" s="92"/>
      <c r="K864" s="92"/>
      <c r="L864" s="988">
        <v>332</v>
      </c>
      <c r="M864" s="92"/>
      <c r="N864" s="92"/>
      <c r="O864" s="92"/>
      <c r="P864" s="92"/>
      <c r="Q864" s="988">
        <v>289</v>
      </c>
      <c r="R864" s="92"/>
      <c r="S864" s="92"/>
      <c r="T864" s="92"/>
      <c r="U864" s="92"/>
      <c r="V864" s="988">
        <v>287</v>
      </c>
      <c r="W864" s="92"/>
      <c r="X864" s="92"/>
      <c r="Y864" s="92"/>
      <c r="Z864" s="92"/>
      <c r="AA864" s="988">
        <v>332</v>
      </c>
      <c r="AB864" s="92"/>
      <c r="AC864" s="92"/>
      <c r="AD864" s="92"/>
      <c r="AE864" s="92"/>
      <c r="AF864" s="988">
        <v>330</v>
      </c>
      <c r="AG864" s="92"/>
      <c r="AH864" s="92"/>
      <c r="AI864" s="92"/>
      <c r="AJ864" s="92"/>
      <c r="AK864" s="988">
        <v>312</v>
      </c>
      <c r="AL864" s="92"/>
      <c r="AM864" s="92"/>
      <c r="AN864" s="92"/>
      <c r="AO864" s="92"/>
      <c r="AP864" s="988">
        <v>311</v>
      </c>
      <c r="AQ864" s="92"/>
      <c r="AR864" s="92"/>
      <c r="AS864" s="92"/>
      <c r="AT864" s="92"/>
      <c r="AU864" s="988">
        <v>321</v>
      </c>
      <c r="AV864" s="92"/>
      <c r="AW864" s="92"/>
      <c r="AX864" s="92"/>
      <c r="AY864" s="92"/>
      <c r="AZ864" s="988">
        <v>323</v>
      </c>
      <c r="BA864" s="92"/>
      <c r="BB864" s="92"/>
      <c r="BC864" s="92"/>
      <c r="BD864" s="92"/>
      <c r="BE864" s="988">
        <v>355</v>
      </c>
      <c r="BF864" s="92"/>
      <c r="BG864" s="92"/>
      <c r="BH864" s="464"/>
      <c r="BI864" s="92"/>
      <c r="BJ864" s="989"/>
      <c r="BK864" s="92"/>
      <c r="BL864" s="92"/>
      <c r="BM864" s="92"/>
      <c r="BN864" s="92"/>
      <c r="BO864" s="989"/>
      <c r="BP864" s="989"/>
      <c r="BQ864" s="989"/>
      <c r="BR864" s="989"/>
      <c r="BS864" s="305"/>
    </row>
    <row r="865" spans="1:71" s="300" customFormat="1" ht="15" hidden="1" outlineLevel="1">
      <c r="A865" s="226" t="s">
        <v>912</v>
      </c>
      <c r="B865" s="166"/>
      <c r="C865" s="988">
        <v>-1250</v>
      </c>
      <c r="D865" s="988">
        <v>-8</v>
      </c>
      <c r="E865" s="988">
        <v>32</v>
      </c>
      <c r="F865" s="988">
        <v>280</v>
      </c>
      <c r="G865" s="988">
        <v>500</v>
      </c>
      <c r="H865" s="92"/>
      <c r="I865" s="92"/>
      <c r="J865" s="92"/>
      <c r="K865" s="92"/>
      <c r="L865" s="988">
        <v>1070</v>
      </c>
      <c r="M865" s="92"/>
      <c r="N865" s="92"/>
      <c r="O865" s="92"/>
      <c r="P865" s="92"/>
      <c r="Q865" s="988">
        <v>1070</v>
      </c>
      <c r="R865" s="92"/>
      <c r="S865" s="92"/>
      <c r="T865" s="92"/>
      <c r="U865" s="92"/>
      <c r="V865" s="988">
        <v>359</v>
      </c>
      <c r="W865" s="92"/>
      <c r="X865" s="92"/>
      <c r="Y865" s="92"/>
      <c r="Z865" s="92"/>
      <c r="AA865" s="988">
        <v>968</v>
      </c>
      <c r="AB865" s="92"/>
      <c r="AC865" s="92"/>
      <c r="AD865" s="92"/>
      <c r="AE865" s="92"/>
      <c r="AF865" s="988">
        <v>731</v>
      </c>
      <c r="AG865" s="92"/>
      <c r="AH865" s="92"/>
      <c r="AI865" s="92"/>
      <c r="AJ865" s="92"/>
      <c r="AK865" s="988">
        <v>648</v>
      </c>
      <c r="AL865" s="92"/>
      <c r="AM865" s="92"/>
      <c r="AN865" s="92"/>
      <c r="AO865" s="92"/>
      <c r="AP865" s="988">
        <v>1480</v>
      </c>
      <c r="AQ865" s="92"/>
      <c r="AR865" s="92"/>
      <c r="AS865" s="92"/>
      <c r="AT865" s="92"/>
      <c r="AU865" s="988">
        <v>1050</v>
      </c>
      <c r="AV865" s="92"/>
      <c r="AW865" s="92"/>
      <c r="AX865" s="92"/>
      <c r="AY865" s="92"/>
      <c r="AZ865" s="988">
        <v>95</v>
      </c>
      <c r="BA865" s="92"/>
      <c r="BB865" s="92"/>
      <c r="BC865" s="92"/>
      <c r="BD865" s="92"/>
      <c r="BE865" s="988">
        <v>45</v>
      </c>
      <c r="BF865" s="92"/>
      <c r="BG865" s="92"/>
      <c r="BH865" s="464"/>
      <c r="BI865" s="92"/>
      <c r="BJ865" s="989"/>
      <c r="BK865" s="92"/>
      <c r="BL865" s="92"/>
      <c r="BM865" s="92"/>
      <c r="BN865" s="92"/>
      <c r="BO865" s="989"/>
      <c r="BP865" s="989"/>
      <c r="BQ865" s="989"/>
      <c r="BR865" s="989"/>
      <c r="BS865" s="305"/>
    </row>
    <row r="866" spans="1:71" s="17" customFormat="1" ht="15" collapsed="1">
      <c r="A866" s="492"/>
      <c r="B866" s="509"/>
      <c r="C866" s="1027"/>
      <c r="D866" s="1027"/>
      <c r="E866" s="1027"/>
      <c r="F866" s="1027"/>
      <c r="G866" s="1027"/>
      <c r="H866" s="843"/>
      <c r="I866" s="843"/>
      <c r="J866" s="843"/>
      <c r="K866" s="843"/>
      <c r="L866" s="1027"/>
      <c r="M866" s="843"/>
      <c r="N866" s="843"/>
      <c r="O866" s="843"/>
      <c r="P866" s="843"/>
      <c r="Q866" s="1027"/>
      <c r="R866" s="843"/>
      <c r="S866" s="843"/>
      <c r="T866" s="843"/>
      <c r="U866" s="843"/>
      <c r="V866" s="1027"/>
      <c r="W866" s="843"/>
      <c r="X866" s="843"/>
      <c r="Y866" s="843"/>
      <c r="Z866" s="843"/>
      <c r="AA866" s="1027"/>
      <c r="AB866" s="843"/>
      <c r="AC866" s="843"/>
      <c r="AD866" s="843"/>
      <c r="AE866" s="843"/>
      <c r="AF866" s="1027"/>
      <c r="AG866" s="843"/>
      <c r="AH866" s="843"/>
      <c r="AI866" s="843"/>
      <c r="AJ866" s="843"/>
      <c r="AK866" s="1027"/>
      <c r="AL866" s="843"/>
      <c r="AM866" s="843"/>
      <c r="AN866" s="843"/>
      <c r="AO866" s="843"/>
      <c r="AP866" s="1027"/>
      <c r="AQ866" s="843"/>
      <c r="AR866" s="843"/>
      <c r="AS866" s="843"/>
      <c r="AT866" s="843"/>
      <c r="AU866" s="1027"/>
      <c r="AV866" s="843"/>
      <c r="AW866" s="843"/>
      <c r="AX866" s="843"/>
      <c r="AY866" s="843"/>
      <c r="AZ866" s="1027"/>
      <c r="BA866" s="843"/>
      <c r="BB866" s="843"/>
      <c r="BC866" s="843"/>
      <c r="BD866" s="843"/>
      <c r="BE866" s="1027"/>
      <c r="BF866" s="843"/>
      <c r="BG866" s="843"/>
      <c r="BH866" s="844"/>
      <c r="BI866" s="843"/>
      <c r="BJ866" s="1027"/>
      <c r="BK866" s="843"/>
      <c r="BL866" s="843"/>
      <c r="BM866" s="843"/>
      <c r="BN866" s="843"/>
      <c r="BO866" s="1027"/>
      <c r="BP866" s="1027"/>
      <c r="BQ866" s="1027"/>
      <c r="BR866" s="1027"/>
      <c r="BS866" s="457"/>
    </row>
    <row r="867" spans="1:71" s="17" customFormat="1" ht="15">
      <c r="A867" s="818" t="s">
        <v>166</v>
      </c>
      <c r="B867" s="818"/>
      <c r="C867" s="837"/>
      <c r="D867" s="837"/>
      <c r="E867" s="837"/>
      <c r="F867" s="837"/>
      <c r="G867" s="837"/>
      <c r="H867" s="837"/>
      <c r="I867" s="837"/>
      <c r="J867" s="837"/>
      <c r="K867" s="837"/>
      <c r="L867" s="837"/>
      <c r="M867" s="837"/>
      <c r="N867" s="837"/>
      <c r="O867" s="837"/>
      <c r="P867" s="837"/>
      <c r="Q867" s="837"/>
      <c r="R867" s="837"/>
      <c r="S867" s="837"/>
      <c r="T867" s="837"/>
      <c r="U867" s="837"/>
      <c r="V867" s="837"/>
      <c r="W867" s="837"/>
      <c r="X867" s="837"/>
      <c r="Y867" s="837"/>
      <c r="Z867" s="837"/>
      <c r="AA867" s="837"/>
      <c r="AB867" s="837"/>
      <c r="AC867" s="837"/>
      <c r="AD867" s="837"/>
      <c r="AE867" s="837"/>
      <c r="AF867" s="837"/>
      <c r="AG867" s="837"/>
      <c r="AH867" s="837"/>
      <c r="AI867" s="837"/>
      <c r="AJ867" s="837"/>
      <c r="AK867" s="837"/>
      <c r="AL867" s="837"/>
      <c r="AM867" s="837"/>
      <c r="AN867" s="837"/>
      <c r="AO867" s="837"/>
      <c r="AP867" s="837"/>
      <c r="AQ867" s="837"/>
      <c r="AR867" s="837"/>
      <c r="AS867" s="837"/>
      <c r="AT867" s="837"/>
      <c r="AU867" s="837"/>
      <c r="AV867" s="837"/>
      <c r="AW867" s="837"/>
      <c r="AX867" s="837"/>
      <c r="AY867" s="837"/>
      <c r="AZ867" s="837"/>
      <c r="BA867" s="837"/>
      <c r="BB867" s="837"/>
      <c r="BC867" s="837"/>
      <c r="BD867" s="837"/>
      <c r="BE867" s="837"/>
      <c r="BF867" s="837"/>
      <c r="BG867" s="837"/>
      <c r="BH867" s="838"/>
      <c r="BI867" s="837"/>
      <c r="BJ867" s="837"/>
      <c r="BK867" s="837"/>
      <c r="BL867" s="837"/>
      <c r="BM867" s="837"/>
      <c r="BN867" s="837"/>
      <c r="BO867" s="837"/>
      <c r="BP867" s="837"/>
      <c r="BQ867" s="837"/>
      <c r="BR867" s="837"/>
      <c r="BS867" s="457"/>
    </row>
    <row r="868" spans="1:71" s="75" customFormat="1" ht="15">
      <c r="A868" s="227" t="str">
        <f t="shared" si="2374" ref="A868:A889">A796</f>
        <v>CFO</v>
      </c>
      <c r="B868" s="509"/>
      <c r="C868" s="1027"/>
      <c r="D868" s="1027"/>
      <c r="E868" s="1027"/>
      <c r="F868" s="1027"/>
      <c r="G868" s="1027"/>
      <c r="H868" s="843"/>
      <c r="I868" s="843"/>
      <c r="J868" s="843"/>
      <c r="K868" s="843"/>
      <c r="L868" s="1027"/>
      <c r="M868" s="843"/>
      <c r="N868" s="843"/>
      <c r="O868" s="843"/>
      <c r="P868" s="843"/>
      <c r="Q868" s="1027"/>
      <c r="R868" s="843"/>
      <c r="S868" s="843"/>
      <c r="T868" s="843"/>
      <c r="U868" s="843"/>
      <c r="V868" s="1027"/>
      <c r="W868" s="843"/>
      <c r="X868" s="843"/>
      <c r="Y868" s="843"/>
      <c r="Z868" s="843"/>
      <c r="AA868" s="1027"/>
      <c r="AB868" s="843"/>
      <c r="AC868" s="843"/>
      <c r="AD868" s="843"/>
      <c r="AE868" s="843"/>
      <c r="AF868" s="1027"/>
      <c r="AG868" s="843"/>
      <c r="AH868" s="843"/>
      <c r="AI868" s="843"/>
      <c r="AJ868" s="843"/>
      <c r="AK868" s="1027"/>
      <c r="AL868" s="843"/>
      <c r="AM868" s="843"/>
      <c r="AN868" s="843"/>
      <c r="AO868" s="843"/>
      <c r="AP868" s="1027"/>
      <c r="AQ868" s="843"/>
      <c r="AR868" s="843"/>
      <c r="AS868" s="843"/>
      <c r="AT868" s="843"/>
      <c r="AU868" s="1027"/>
      <c r="AV868" s="843"/>
      <c r="AW868" s="843"/>
      <c r="AX868" s="843"/>
      <c r="AY868" s="843"/>
      <c r="AZ868" s="1027"/>
      <c r="BA868" s="843"/>
      <c r="BB868" s="843"/>
      <c r="BC868" s="843"/>
      <c r="BD868" s="843"/>
      <c r="BE868" s="1027"/>
      <c r="BF868" s="843"/>
      <c r="BG868" s="843"/>
      <c r="BH868" s="844"/>
      <c r="BI868" s="843"/>
      <c r="BJ868" s="1027"/>
      <c r="BK868" s="843"/>
      <c r="BL868" s="843"/>
      <c r="BM868" s="843"/>
      <c r="BN868" s="843"/>
      <c r="BO868" s="1027"/>
      <c r="BP868" s="1027"/>
      <c r="BQ868" s="1027"/>
      <c r="BR868" s="1027"/>
      <c r="BS868" s="458"/>
    </row>
    <row r="869" spans="1:71" s="85" customFormat="1" ht="15">
      <c r="A869" s="82" t="str">
        <f t="shared" si="2374"/>
        <v>Net income</v>
      </c>
      <c r="B869" s="166"/>
      <c r="C869" s="989">
        <f t="shared" si="2375" ref="C869:H878">C797</f>
        <v>854</v>
      </c>
      <c r="D869" s="989">
        <f t="shared" si="2375"/>
        <v>928</v>
      </c>
      <c r="E869" s="989">
        <f t="shared" si="2375"/>
        <v>787</v>
      </c>
      <c r="F869" s="989">
        <f t="shared" si="2375"/>
        <v>2306</v>
      </c>
      <c r="G869" s="989">
        <f t="shared" si="2375"/>
        <v>2280</v>
      </c>
      <c r="H869" s="92">
        <f t="shared" si="2375"/>
        <v>600</v>
      </c>
      <c r="I869" s="92">
        <f t="shared" si="2376" ref="I869:K878">I797-H797</f>
        <v>645</v>
      </c>
      <c r="J869" s="92">
        <f t="shared" si="2376"/>
        <v>781</v>
      </c>
      <c r="K869" s="92">
        <f t="shared" si="2376"/>
        <v>824</v>
      </c>
      <c r="L869" s="989">
        <f t="shared" si="2377" ref="L869:M878">L797</f>
        <v>2850</v>
      </c>
      <c r="M869" s="92">
        <f t="shared" si="2377"/>
        <v>677</v>
      </c>
      <c r="N869" s="92">
        <f t="shared" si="2378" ref="N869:P878">N797-M797</f>
        <v>355</v>
      </c>
      <c r="O869" s="92">
        <f t="shared" si="2378"/>
        <v>650</v>
      </c>
      <c r="P869" s="92">
        <f t="shared" si="2378"/>
        <v>489</v>
      </c>
      <c r="Q869" s="989">
        <f t="shared" si="2379" ref="Q869:R878">Q797</f>
        <v>2171</v>
      </c>
      <c r="R869" s="92">
        <f t="shared" si="2379"/>
        <v>246</v>
      </c>
      <c r="S869" s="92">
        <f t="shared" si="2380" ref="S869:U878">S797-R797</f>
        <v>271</v>
      </c>
      <c r="T869" s="92">
        <f t="shared" si="2380"/>
        <v>520</v>
      </c>
      <c r="U869" s="92">
        <f t="shared" si="2380"/>
        <v>840</v>
      </c>
      <c r="V869" s="989">
        <f t="shared" si="2381" ref="V869:W878">V797</f>
        <v>1877</v>
      </c>
      <c r="W869" s="92">
        <f t="shared" si="2381"/>
        <v>695</v>
      </c>
      <c r="X869" s="92">
        <f t="shared" si="2382" ref="X869:Z878">X797-W797</f>
        <v>579</v>
      </c>
      <c r="Y869" s="92">
        <f t="shared" si="2382"/>
        <v>666</v>
      </c>
      <c r="Z869" s="92">
        <f t="shared" si="2382"/>
        <v>1249</v>
      </c>
      <c r="AA869" s="989">
        <f t="shared" si="2383" ref="AA869:AB878">AA797</f>
        <v>3189</v>
      </c>
      <c r="AB869" s="92">
        <f t="shared" si="2383"/>
        <v>975</v>
      </c>
      <c r="AC869" s="92">
        <f t="shared" si="2384" ref="AC869:AE878">AC797-AB797</f>
        <v>676</v>
      </c>
      <c r="AD869" s="92">
        <f t="shared" si="2384"/>
        <v>870</v>
      </c>
      <c r="AE869" s="92">
        <f t="shared" si="2384"/>
        <v>-269</v>
      </c>
      <c r="AF869" s="989">
        <f t="shared" si="2385" ref="AF869:AG878">AF797</f>
        <v>2252</v>
      </c>
      <c r="AG869" s="92">
        <f t="shared" si="2385"/>
        <v>1292</v>
      </c>
      <c r="AH869" s="92">
        <f t="shared" si="2386" ref="AH869:AJ878">AH797-AG797</f>
        <v>851</v>
      </c>
      <c r="AI869" s="92">
        <f t="shared" si="2386"/>
        <v>931</v>
      </c>
      <c r="AJ869" s="92">
        <f t="shared" si="2386"/>
        <v>1773</v>
      </c>
      <c r="AK869" s="989">
        <f t="shared" si="2387" ref="AK869:AL878">AK797</f>
        <v>4847</v>
      </c>
      <c r="AL869" s="92">
        <f t="shared" si="2387"/>
        <v>549</v>
      </c>
      <c r="AM869" s="92">
        <f t="shared" si="2388" ref="AM869:AO878">AM797-AL797</f>
        <v>1250</v>
      </c>
      <c r="AN869" s="92">
        <f t="shared" si="2388"/>
        <v>1153</v>
      </c>
      <c r="AO869" s="92">
        <f t="shared" si="2388"/>
        <v>2624</v>
      </c>
      <c r="AP869" s="989">
        <f t="shared" si="2389" ref="AP869:AQ878">AP797</f>
        <v>5576</v>
      </c>
      <c r="AQ869" s="92">
        <f t="shared" si="2389"/>
        <v>-1387</v>
      </c>
      <c r="AR869" s="92">
        <f t="shared" si="2390" ref="AR869:AT878">AR797-AQ797</f>
        <v>1631</v>
      </c>
      <c r="AS869" s="92">
        <f t="shared" si="2390"/>
        <v>531</v>
      </c>
      <c r="AT869" s="92">
        <f t="shared" si="2390"/>
        <v>791</v>
      </c>
      <c r="AU869" s="989">
        <f t="shared" si="2391" ref="AU869:AV878">AU797</f>
        <v>1566</v>
      </c>
      <c r="AV869" s="92">
        <f t="shared" si="2391"/>
        <v>650</v>
      </c>
      <c r="AW869" s="92">
        <f t="shared" si="2392" ref="AW869:AY878">AW797-AV797</f>
        <v>-1022</v>
      </c>
      <c r="AX869" s="92">
        <f t="shared" si="2392"/>
        <v>-674</v>
      </c>
      <c r="AY869" s="92">
        <f t="shared" si="2392"/>
        <v>-296</v>
      </c>
      <c r="AZ869" s="989">
        <f t="shared" si="2393" ref="AZ869">AZ797</f>
        <v>-1342</v>
      </c>
      <c r="BA869" s="92">
        <f t="shared" si="2394" ref="BA869:BA878">BA797</f>
        <v>-321</v>
      </c>
      <c r="BB869" s="92">
        <f t="shared" si="2395" ref="BB869:BC878">BB797-BA797</f>
        <v>-1375</v>
      </c>
      <c r="BC869" s="92">
        <f t="shared" si="2395"/>
        <v>-4</v>
      </c>
      <c r="BD869" s="92">
        <f t="shared" si="2396" ref="BD869:BD878">BD797-BC797</f>
        <v>1487</v>
      </c>
      <c r="BE869" s="989">
        <f t="shared" si="2397" ref="BE869:BF878">BE797</f>
        <v>-213</v>
      </c>
      <c r="BF869" s="92">
        <f t="shared" si="2397"/>
        <v>1198</v>
      </c>
      <c r="BG869" s="92">
        <f t="shared" si="2398" ref="BG869:BG878">BG797-BF797</f>
        <v>347</v>
      </c>
      <c r="BH869" s="464">
        <f t="shared" si="2399" ref="BH869:BH878">BH797-BG797</f>
        <v>1164</v>
      </c>
      <c r="BI869" s="92">
        <f>BI689</f>
        <v>1367.403136004099</v>
      </c>
      <c r="BJ869" s="989">
        <f t="shared" si="2400" ref="BJ869:BJ878">SUM(BF869,BG869,BH869,BI869)</f>
        <v>4076.403136004099</v>
      </c>
      <c r="BK869" s="92">
        <f>BK689</f>
        <v>1487.2043861260277</v>
      </c>
      <c r="BL869" s="92">
        <f>BL689</f>
        <v>897.28568412054733</v>
      </c>
      <c r="BM869" s="92">
        <f>BM689</f>
        <v>1248.7151435068504</v>
      </c>
      <c r="BN869" s="92">
        <f>BN689</f>
        <v>1708.4029141044405</v>
      </c>
      <c r="BO869" s="989">
        <f t="shared" si="2401" ref="BO869:BO878">SUM(BK869,BL869,BM869,BN869)</f>
        <v>5341.6081278578658</v>
      </c>
      <c r="BP869" s="989">
        <f>BP689</f>
        <v>5709.4346056623654</v>
      </c>
      <c r="BQ869" s="989">
        <f>BQ689</f>
        <v>5844.631458205341</v>
      </c>
      <c r="BR869" s="989">
        <f>BR689</f>
        <v>6000.4517650377838</v>
      </c>
      <c r="BS869" s="84"/>
    </row>
    <row r="870" spans="1:71" s="85" customFormat="1" ht="15">
      <c r="A870" s="82" t="str">
        <f t="shared" si="2374"/>
        <v>Depreciation, amortization and other non-cash items</v>
      </c>
      <c r="B870" s="166"/>
      <c r="C870" s="989">
        <f t="shared" si="2375"/>
        <v>-91</v>
      </c>
      <c r="D870" s="989">
        <f t="shared" si="2375"/>
        <v>94</v>
      </c>
      <c r="E870" s="989">
        <f t="shared" si="2375"/>
        <v>252</v>
      </c>
      <c r="F870" s="989">
        <f t="shared" si="2375"/>
        <v>388</v>
      </c>
      <c r="G870" s="989">
        <f t="shared" si="2375"/>
        <v>368</v>
      </c>
      <c r="H870" s="92">
        <f t="shared" si="2375"/>
        <v>98</v>
      </c>
      <c r="I870" s="92">
        <f t="shared" si="2376"/>
        <v>91</v>
      </c>
      <c r="J870" s="92">
        <f t="shared" si="2376"/>
        <v>88</v>
      </c>
      <c r="K870" s="92">
        <f t="shared" si="2376"/>
        <v>89</v>
      </c>
      <c r="L870" s="989">
        <f t="shared" si="2377"/>
        <v>366</v>
      </c>
      <c r="M870" s="92">
        <f t="shared" si="2377"/>
        <v>87</v>
      </c>
      <c r="N870" s="92">
        <f t="shared" si="2378"/>
        <v>92</v>
      </c>
      <c r="O870" s="92">
        <f t="shared" si="2378"/>
        <v>96</v>
      </c>
      <c r="P870" s="92">
        <f t="shared" si="2378"/>
        <v>96</v>
      </c>
      <c r="Q870" s="989">
        <f t="shared" si="2379"/>
        <v>371</v>
      </c>
      <c r="R870" s="92">
        <f t="shared" si="2379"/>
        <v>91</v>
      </c>
      <c r="S870" s="92">
        <f t="shared" si="2380"/>
        <v>97</v>
      </c>
      <c r="T870" s="92">
        <f t="shared" si="2380"/>
        <v>97</v>
      </c>
      <c r="U870" s="92">
        <f t="shared" si="2380"/>
        <v>97</v>
      </c>
      <c r="V870" s="989">
        <f t="shared" si="2381"/>
        <v>382</v>
      </c>
      <c r="W870" s="92">
        <f t="shared" si="2381"/>
        <v>119</v>
      </c>
      <c r="X870" s="92">
        <f t="shared" si="2382"/>
        <v>119</v>
      </c>
      <c r="Y870" s="92">
        <f t="shared" si="2382"/>
        <v>120</v>
      </c>
      <c r="Z870" s="92">
        <f t="shared" si="2382"/>
        <v>125</v>
      </c>
      <c r="AA870" s="989">
        <f t="shared" si="2383"/>
        <v>483</v>
      </c>
      <c r="AB870" s="92">
        <f t="shared" si="2383"/>
        <v>122</v>
      </c>
      <c r="AC870" s="92">
        <f t="shared" si="2384"/>
        <v>126</v>
      </c>
      <c r="AD870" s="92">
        <f t="shared" si="2384"/>
        <v>128</v>
      </c>
      <c r="AE870" s="92">
        <f t="shared" si="2384"/>
        <v>135</v>
      </c>
      <c r="AF870" s="989">
        <f t="shared" si="2385"/>
        <v>511</v>
      </c>
      <c r="AG870" s="92">
        <f t="shared" si="2385"/>
        <v>157</v>
      </c>
      <c r="AH870" s="92">
        <f t="shared" si="2386"/>
        <v>160</v>
      </c>
      <c r="AI870" s="92">
        <f t="shared" si="2386"/>
        <v>159</v>
      </c>
      <c r="AJ870" s="92">
        <f t="shared" si="2386"/>
        <v>171</v>
      </c>
      <c r="AK870" s="989">
        <f t="shared" si="2387"/>
        <v>647</v>
      </c>
      <c r="AL870" s="92">
        <f t="shared" si="2387"/>
        <v>155</v>
      </c>
      <c r="AM870" s="92">
        <f t="shared" si="2388"/>
        <v>163</v>
      </c>
      <c r="AN870" s="92">
        <f t="shared" si="2388"/>
        <v>182</v>
      </c>
      <c r="AO870" s="92">
        <f t="shared" si="2388"/>
        <v>186</v>
      </c>
      <c r="AP870" s="989">
        <f t="shared" si="2389"/>
        <v>686</v>
      </c>
      <c r="AQ870" s="92">
        <f t="shared" si="2389"/>
        <v>260</v>
      </c>
      <c r="AR870" s="92">
        <f t="shared" si="2390"/>
        <v>311</v>
      </c>
      <c r="AS870" s="92">
        <f t="shared" si="2390"/>
        <v>247</v>
      </c>
      <c r="AT870" s="92">
        <f t="shared" si="2390"/>
        <v>268</v>
      </c>
      <c r="AU870" s="989">
        <f t="shared" si="2391"/>
        <v>1086</v>
      </c>
      <c r="AV870" s="92">
        <f t="shared" si="2391"/>
        <v>236</v>
      </c>
      <c r="AW870" s="92">
        <f t="shared" si="2392"/>
        <v>216</v>
      </c>
      <c r="AX870" s="92">
        <f t="shared" si="2392"/>
        <v>194</v>
      </c>
      <c r="AY870" s="92">
        <f t="shared" si="2392"/>
        <v>201</v>
      </c>
      <c r="AZ870" s="989">
        <f t="shared" si="2402" ref="AZ870">AZ798</f>
        <v>847</v>
      </c>
      <c r="BA870" s="92">
        <f t="shared" si="2394"/>
        <v>177</v>
      </c>
      <c r="BB870" s="92">
        <f t="shared" si="2395"/>
        <v>186</v>
      </c>
      <c r="BC870" s="92">
        <f t="shared" si="2395"/>
        <v>176</v>
      </c>
      <c r="BD870" s="92">
        <f t="shared" si="2396"/>
        <v>165</v>
      </c>
      <c r="BE870" s="989">
        <f t="shared" si="2397"/>
        <v>704</v>
      </c>
      <c r="BF870" s="92">
        <f t="shared" si="2397"/>
        <v>132</v>
      </c>
      <c r="BG870" s="92">
        <f t="shared" si="2398"/>
        <v>132</v>
      </c>
      <c r="BH870" s="464">
        <f t="shared" si="2399"/>
        <v>140</v>
      </c>
      <c r="BI870" s="92"/>
      <c r="BJ870" s="989">
        <f t="shared" si="2400"/>
        <v>404</v>
      </c>
      <c r="BK870" s="92"/>
      <c r="BL870" s="92"/>
      <c r="BM870" s="92"/>
      <c r="BN870" s="92"/>
      <c r="BO870" s="989">
        <f t="shared" si="2401"/>
        <v>0</v>
      </c>
      <c r="BP870" s="989"/>
      <c r="BQ870" s="989"/>
      <c r="BR870" s="989"/>
      <c r="BS870" s="84"/>
    </row>
    <row r="871" spans="1:71" s="85" customFormat="1" ht="15">
      <c r="A871" s="82" t="str">
        <f t="shared" si="2374"/>
        <v>Realized capital gains and losses</v>
      </c>
      <c r="B871" s="166"/>
      <c r="C871" s="989">
        <f t="shared" si="2375"/>
        <v>583</v>
      </c>
      <c r="D871" s="989">
        <f t="shared" si="2375"/>
        <v>827</v>
      </c>
      <c r="E871" s="989">
        <f t="shared" si="2375"/>
        <v>-503</v>
      </c>
      <c r="F871" s="989">
        <f t="shared" si="2375"/>
        <v>-327</v>
      </c>
      <c r="G871" s="989">
        <f t="shared" si="2375"/>
        <v>-594</v>
      </c>
      <c r="H871" s="92">
        <f t="shared" si="2375"/>
        <v>-54</v>
      </c>
      <c r="I871" s="92">
        <f t="shared" si="2376"/>
        <v>-240</v>
      </c>
      <c r="J871" s="92">
        <f t="shared" si="2376"/>
        <v>-294</v>
      </c>
      <c r="K871" s="92">
        <f t="shared" si="2376"/>
        <v>-106</v>
      </c>
      <c r="L871" s="989">
        <f t="shared" si="2377"/>
        <v>-694</v>
      </c>
      <c r="M871" s="92">
        <f t="shared" si="2377"/>
        <v>-139</v>
      </c>
      <c r="N871" s="92">
        <f t="shared" si="2378"/>
        <v>-108</v>
      </c>
      <c r="O871" s="92">
        <f t="shared" si="2378"/>
        <v>-33</v>
      </c>
      <c r="P871" s="92">
        <f t="shared" si="2378"/>
        <v>250</v>
      </c>
      <c r="Q871" s="989">
        <f t="shared" si="2379"/>
        <v>-30</v>
      </c>
      <c r="R871" s="92">
        <f t="shared" si="2379"/>
        <v>149</v>
      </c>
      <c r="S871" s="92">
        <f t="shared" si="2380"/>
        <v>-24</v>
      </c>
      <c r="T871" s="92">
        <f t="shared" si="2380"/>
        <v>-33</v>
      </c>
      <c r="U871" s="92">
        <f t="shared" si="2380"/>
        <v>-2</v>
      </c>
      <c r="V871" s="989">
        <f t="shared" si="2381"/>
        <v>90</v>
      </c>
      <c r="W871" s="92">
        <f t="shared" si="2381"/>
        <v>-134</v>
      </c>
      <c r="X871" s="92">
        <f t="shared" si="2382"/>
        <v>-81</v>
      </c>
      <c r="Y871" s="92">
        <f t="shared" si="2382"/>
        <v>-103</v>
      </c>
      <c r="Z871" s="92">
        <f t="shared" si="2382"/>
        <v>-127</v>
      </c>
      <c r="AA871" s="989">
        <f t="shared" si="2383"/>
        <v>-445</v>
      </c>
      <c r="AB871" s="92">
        <f t="shared" si="2383"/>
        <v>134</v>
      </c>
      <c r="AC871" s="92">
        <f t="shared" si="2384"/>
        <v>25</v>
      </c>
      <c r="AD871" s="92">
        <f t="shared" si="2384"/>
        <v>-176</v>
      </c>
      <c r="AE871" s="92">
        <f t="shared" si="2384"/>
        <v>894</v>
      </c>
      <c r="AF871" s="989">
        <f t="shared" si="2385"/>
        <v>877</v>
      </c>
      <c r="AG871" s="92">
        <f t="shared" si="2385"/>
        <v>-662</v>
      </c>
      <c r="AH871" s="92">
        <f t="shared" si="2386"/>
        <v>-324</v>
      </c>
      <c r="AI871" s="92">
        <f t="shared" si="2386"/>
        <v>-197</v>
      </c>
      <c r="AJ871" s="92">
        <f t="shared" si="2386"/>
        <v>-702</v>
      </c>
      <c r="AK871" s="989">
        <f t="shared" si="2387"/>
        <v>-1885</v>
      </c>
      <c r="AL871" s="92">
        <f t="shared" si="2387"/>
        <v>462</v>
      </c>
      <c r="AM871" s="92">
        <f t="shared" si="2388"/>
        <v>-704</v>
      </c>
      <c r="AN871" s="92">
        <f t="shared" si="2388"/>
        <v>-440</v>
      </c>
      <c r="AO871" s="92">
        <f t="shared" si="2388"/>
        <v>-674</v>
      </c>
      <c r="AP871" s="989">
        <f t="shared" si="2389"/>
        <v>-1356</v>
      </c>
      <c r="AQ871" s="92">
        <f t="shared" si="2389"/>
        <v>-505</v>
      </c>
      <c r="AR871" s="92">
        <f t="shared" si="2390"/>
        <v>-397</v>
      </c>
      <c r="AS871" s="92">
        <f t="shared" si="2390"/>
        <v>-109</v>
      </c>
      <c r="AT871" s="92">
        <f t="shared" si="2390"/>
        <v>-268</v>
      </c>
      <c r="AU871" s="989">
        <f t="shared" si="2391"/>
        <v>-1279</v>
      </c>
      <c r="AV871" s="92">
        <f t="shared" si="2391"/>
        <v>267</v>
      </c>
      <c r="AW871" s="92">
        <f t="shared" si="2392"/>
        <v>733</v>
      </c>
      <c r="AX871" s="92">
        <f t="shared" si="2392"/>
        <v>167</v>
      </c>
      <c r="AY871" s="92">
        <f t="shared" si="2392"/>
        <v>-95</v>
      </c>
      <c r="AZ871" s="989">
        <f t="shared" si="2403" ref="AZ871">AZ799</f>
        <v>1072</v>
      </c>
      <c r="BA871" s="92">
        <f t="shared" si="2394"/>
        <v>-14</v>
      </c>
      <c r="BB871" s="92">
        <f t="shared" si="2395"/>
        <v>151</v>
      </c>
      <c r="BC871" s="92">
        <f t="shared" si="2395"/>
        <v>86</v>
      </c>
      <c r="BD871" s="92">
        <f t="shared" si="2396"/>
        <v>77</v>
      </c>
      <c r="BE871" s="989">
        <f t="shared" si="2397"/>
        <v>300</v>
      </c>
      <c r="BF871" s="92">
        <f t="shared" si="2397"/>
        <v>164</v>
      </c>
      <c r="BG871" s="92">
        <f t="shared" si="2398"/>
        <v>103</v>
      </c>
      <c r="BH871" s="464">
        <f t="shared" si="2399"/>
        <v>-243</v>
      </c>
      <c r="BI871" s="92"/>
      <c r="BJ871" s="989">
        <f t="shared" si="2400"/>
        <v>24</v>
      </c>
      <c r="BK871" s="92"/>
      <c r="BL871" s="92"/>
      <c r="BM871" s="92"/>
      <c r="BN871" s="92"/>
      <c r="BO871" s="989">
        <f t="shared" si="2401"/>
        <v>0</v>
      </c>
      <c r="BP871" s="989"/>
      <c r="BQ871" s="989"/>
      <c r="BR871" s="989"/>
      <c r="BS871" s="84"/>
    </row>
    <row r="872" spans="1:71" s="85" customFormat="1" ht="15">
      <c r="A872" s="82" t="str">
        <f t="shared" si="2374"/>
        <v>Pension and other postretirement remeasurement gains and losses</v>
      </c>
      <c r="B872" s="166"/>
      <c r="C872" s="989">
        <f t="shared" si="2375"/>
        <v>0</v>
      </c>
      <c r="D872" s="989">
        <f t="shared" si="2375"/>
        <v>0</v>
      </c>
      <c r="E872" s="989">
        <f t="shared" si="2375"/>
        <v>0</v>
      </c>
      <c r="F872" s="989">
        <f t="shared" si="2375"/>
        <v>0</v>
      </c>
      <c r="G872" s="989">
        <f t="shared" si="2375"/>
        <v>0</v>
      </c>
      <c r="H872" s="92">
        <f t="shared" si="2375"/>
        <v>0</v>
      </c>
      <c r="I872" s="92">
        <f t="shared" si="2376"/>
        <v>0</v>
      </c>
      <c r="J872" s="92">
        <f t="shared" si="2376"/>
        <v>0</v>
      </c>
      <c r="K872" s="92">
        <f t="shared" si="2376"/>
        <v>0</v>
      </c>
      <c r="L872" s="989">
        <f t="shared" si="2377"/>
        <v>0</v>
      </c>
      <c r="M872" s="92">
        <f t="shared" si="2377"/>
        <v>0</v>
      </c>
      <c r="N872" s="92">
        <f t="shared" si="2378"/>
        <v>0</v>
      </c>
      <c r="O872" s="92">
        <f t="shared" si="2378"/>
        <v>0</v>
      </c>
      <c r="P872" s="92">
        <f t="shared" si="2378"/>
        <v>0</v>
      </c>
      <c r="Q872" s="989">
        <f t="shared" si="2379"/>
        <v>0</v>
      </c>
      <c r="R872" s="92">
        <f t="shared" si="2379"/>
        <v>0</v>
      </c>
      <c r="S872" s="92">
        <f t="shared" si="2380"/>
        <v>0</v>
      </c>
      <c r="T872" s="92">
        <f t="shared" si="2380"/>
        <v>0</v>
      </c>
      <c r="U872" s="92">
        <f t="shared" si="2380"/>
        <v>0</v>
      </c>
      <c r="V872" s="989">
        <f t="shared" si="2381"/>
        <v>0</v>
      </c>
      <c r="W872" s="92">
        <f t="shared" si="2381"/>
        <v>0</v>
      </c>
      <c r="X872" s="92">
        <f t="shared" si="2382"/>
        <v>0</v>
      </c>
      <c r="Y872" s="92">
        <f t="shared" si="2382"/>
        <v>0</v>
      </c>
      <c r="Z872" s="92">
        <f t="shared" si="2382"/>
        <v>0</v>
      </c>
      <c r="AA872" s="989">
        <f t="shared" si="2383"/>
        <v>0</v>
      </c>
      <c r="AB872" s="92">
        <f t="shared" si="2383"/>
        <v>0</v>
      </c>
      <c r="AC872" s="92">
        <f t="shared" si="2384"/>
        <v>0</v>
      </c>
      <c r="AD872" s="92">
        <f t="shared" si="2384"/>
        <v>0</v>
      </c>
      <c r="AE872" s="92">
        <f t="shared" si="2384"/>
        <v>0</v>
      </c>
      <c r="AF872" s="989">
        <f t="shared" si="2385"/>
        <v>0</v>
      </c>
      <c r="AG872" s="92">
        <f t="shared" si="2385"/>
        <v>15</v>
      </c>
      <c r="AH872" s="92">
        <f t="shared" si="2386"/>
        <v>125</v>
      </c>
      <c r="AI872" s="92">
        <f t="shared" si="2386"/>
        <v>225</v>
      </c>
      <c r="AJ872" s="92">
        <f t="shared" si="2386"/>
        <v>-251</v>
      </c>
      <c r="AK872" s="989">
        <f t="shared" si="2387"/>
        <v>114</v>
      </c>
      <c r="AL872" s="92">
        <f t="shared" si="2387"/>
        <v>318</v>
      </c>
      <c r="AM872" s="92">
        <f t="shared" si="2388"/>
        <v>73</v>
      </c>
      <c r="AN872" s="92">
        <f t="shared" si="2388"/>
        <v>-71</v>
      </c>
      <c r="AO872" s="92">
        <f t="shared" si="2388"/>
        <v>-371</v>
      </c>
      <c r="AP872" s="989">
        <f t="shared" si="2389"/>
        <v>-51</v>
      </c>
      <c r="AQ872" s="92">
        <f t="shared" si="2389"/>
        <v>-310</v>
      </c>
      <c r="AR872" s="92">
        <f t="shared" si="2390"/>
        <v>-134</v>
      </c>
      <c r="AS872" s="92">
        <f t="shared" si="2390"/>
        <v>40</v>
      </c>
      <c r="AT872" s="92">
        <f t="shared" si="2390"/>
        <v>-240</v>
      </c>
      <c r="AU872" s="989">
        <f t="shared" si="2391"/>
        <v>-644</v>
      </c>
      <c r="AV872" s="92">
        <f t="shared" si="2391"/>
        <v>-247</v>
      </c>
      <c r="AW872" s="92">
        <f t="shared" si="2392"/>
        <v>259</v>
      </c>
      <c r="AX872" s="92">
        <f t="shared" si="2392"/>
        <v>79</v>
      </c>
      <c r="AY872" s="92">
        <f t="shared" si="2392"/>
        <v>25</v>
      </c>
      <c r="AZ872" s="989">
        <f t="shared" si="2404" ref="AZ872">AZ800</f>
        <v>116</v>
      </c>
      <c r="BA872" s="92">
        <f t="shared" si="2394"/>
        <v>-53</v>
      </c>
      <c r="BB872" s="92">
        <f t="shared" si="2395"/>
        <v>-40</v>
      </c>
      <c r="BC872" s="92">
        <f t="shared" si="2395"/>
        <v>149</v>
      </c>
      <c r="BD872" s="92">
        <f t="shared" si="2396"/>
        <v>-47</v>
      </c>
      <c r="BE872" s="989">
        <f t="shared" si="2397"/>
        <v>9</v>
      </c>
      <c r="BF872" s="92">
        <f t="shared" si="2397"/>
        <v>-2</v>
      </c>
      <c r="BG872" s="92">
        <f t="shared" si="2398"/>
        <v>-9</v>
      </c>
      <c r="BH872" s="464">
        <f t="shared" si="2399"/>
        <v>26</v>
      </c>
      <c r="BI872" s="92"/>
      <c r="BJ872" s="989">
        <f t="shared" si="2400"/>
        <v>15</v>
      </c>
      <c r="BK872" s="92"/>
      <c r="BL872" s="92"/>
      <c r="BM872" s="92"/>
      <c r="BN872" s="92"/>
      <c r="BO872" s="989">
        <f t="shared" si="2401"/>
        <v>0</v>
      </c>
      <c r="BP872" s="989"/>
      <c r="BQ872" s="989"/>
      <c r="BR872" s="989"/>
      <c r="BS872" s="84"/>
    </row>
    <row r="873" spans="1:71" s="85" customFormat="1" ht="15">
      <c r="A873" s="82" t="str">
        <f t="shared" si="2374"/>
        <v>Loss on extinguishment of debt</v>
      </c>
      <c r="B873" s="166"/>
      <c r="C873" s="989">
        <f t="shared" si="2375"/>
        <v>0</v>
      </c>
      <c r="D873" s="989">
        <f t="shared" si="2375"/>
        <v>0</v>
      </c>
      <c r="E873" s="989">
        <f t="shared" si="2375"/>
        <v>0</v>
      </c>
      <c r="F873" s="989">
        <f t="shared" si="2375"/>
        <v>0</v>
      </c>
      <c r="G873" s="989">
        <f t="shared" si="2375"/>
        <v>491</v>
      </c>
      <c r="H873" s="92">
        <f t="shared" si="2375"/>
        <v>0</v>
      </c>
      <c r="I873" s="92">
        <f t="shared" si="2376"/>
        <v>1</v>
      </c>
      <c r="J873" s="92">
        <f t="shared" si="2376"/>
        <v>0</v>
      </c>
      <c r="K873" s="92">
        <f t="shared" si="2376"/>
        <v>0</v>
      </c>
      <c r="L873" s="989">
        <f t="shared" si="2377"/>
        <v>1</v>
      </c>
      <c r="M873" s="92">
        <f t="shared" si="2377"/>
        <v>0</v>
      </c>
      <c r="N873" s="92">
        <f t="shared" si="2378"/>
        <v>0</v>
      </c>
      <c r="O873" s="92">
        <f t="shared" si="2378"/>
        <v>0</v>
      </c>
      <c r="P873" s="92">
        <f t="shared" si="2378"/>
        <v>0</v>
      </c>
      <c r="Q873" s="989">
        <f t="shared" si="2379"/>
        <v>0</v>
      </c>
      <c r="R873" s="92">
        <f t="shared" si="2379"/>
        <v>0</v>
      </c>
      <c r="S873" s="92">
        <f t="shared" si="2380"/>
        <v>0</v>
      </c>
      <c r="T873" s="92">
        <f t="shared" si="2380"/>
        <v>0</v>
      </c>
      <c r="U873" s="92">
        <f t="shared" si="2380"/>
        <v>0</v>
      </c>
      <c r="V873" s="989">
        <f t="shared" si="2381"/>
        <v>0</v>
      </c>
      <c r="W873" s="92">
        <f t="shared" si="2381"/>
        <v>0</v>
      </c>
      <c r="X873" s="92">
        <f t="shared" si="2382"/>
        <v>0</v>
      </c>
      <c r="Y873" s="92">
        <f t="shared" si="2382"/>
        <v>0</v>
      </c>
      <c r="Z873" s="92">
        <f t="shared" si="2382"/>
        <v>0</v>
      </c>
      <c r="AA873" s="989">
        <f t="shared" si="2383"/>
        <v>0</v>
      </c>
      <c r="AB873" s="92">
        <f t="shared" si="2383"/>
        <v>0</v>
      </c>
      <c r="AC873" s="92">
        <f t="shared" si="2384"/>
        <v>0</v>
      </c>
      <c r="AD873" s="92">
        <f t="shared" si="2384"/>
        <v>0</v>
      </c>
      <c r="AE873" s="92">
        <f t="shared" si="2384"/>
        <v>0</v>
      </c>
      <c r="AF873" s="989">
        <f t="shared" si="2385"/>
        <v>0</v>
      </c>
      <c r="AG873" s="92">
        <f t="shared" si="2385"/>
        <v>0</v>
      </c>
      <c r="AH873" s="92">
        <f t="shared" si="2386"/>
        <v>0</v>
      </c>
      <c r="AI873" s="92">
        <f t="shared" si="2386"/>
        <v>0</v>
      </c>
      <c r="AJ873" s="92">
        <f t="shared" si="2386"/>
        <v>0</v>
      </c>
      <c r="AK873" s="989">
        <f t="shared" si="2387"/>
        <v>0</v>
      </c>
      <c r="AL873" s="92">
        <f t="shared" si="2387"/>
        <v>0</v>
      </c>
      <c r="AM873" s="92">
        <f t="shared" si="2388"/>
        <v>0</v>
      </c>
      <c r="AN873" s="92">
        <f t="shared" si="2388"/>
        <v>0</v>
      </c>
      <c r="AO873" s="92">
        <f t="shared" si="2388"/>
        <v>0</v>
      </c>
      <c r="AP873" s="989">
        <f t="shared" si="2389"/>
        <v>0</v>
      </c>
      <c r="AQ873" s="92">
        <f t="shared" si="2389"/>
        <v>0</v>
      </c>
      <c r="AR873" s="92">
        <f t="shared" si="2390"/>
        <v>0</v>
      </c>
      <c r="AS873" s="92">
        <f t="shared" si="2390"/>
        <v>0</v>
      </c>
      <c r="AT873" s="92">
        <f t="shared" si="2390"/>
        <v>0</v>
      </c>
      <c r="AU873" s="989">
        <f t="shared" si="2391"/>
        <v>0</v>
      </c>
      <c r="AV873" s="92">
        <f t="shared" si="2391"/>
        <v>0</v>
      </c>
      <c r="AW873" s="92">
        <f t="shared" si="2392"/>
        <v>0</v>
      </c>
      <c r="AX873" s="92">
        <f t="shared" si="2392"/>
        <v>0</v>
      </c>
      <c r="AY873" s="92">
        <f t="shared" si="2392"/>
        <v>0</v>
      </c>
      <c r="AZ873" s="989">
        <f t="shared" si="2405" ref="AZ873">AZ801</f>
        <v>0</v>
      </c>
      <c r="BA873" s="92">
        <f t="shared" si="2394"/>
        <v>0</v>
      </c>
      <c r="BB873" s="92">
        <f t="shared" si="2395"/>
        <v>0</v>
      </c>
      <c r="BC873" s="92">
        <f t="shared" si="2395"/>
        <v>0</v>
      </c>
      <c r="BD873" s="92">
        <f t="shared" si="2396"/>
        <v>0</v>
      </c>
      <c r="BE873" s="989">
        <f t="shared" si="2397"/>
        <v>0</v>
      </c>
      <c r="BF873" s="92">
        <f t="shared" si="2397"/>
        <v>0</v>
      </c>
      <c r="BG873" s="92">
        <f t="shared" si="2398"/>
        <v>0</v>
      </c>
      <c r="BH873" s="464">
        <f t="shared" si="2399"/>
        <v>0</v>
      </c>
      <c r="BI873" s="92"/>
      <c r="BJ873" s="989">
        <f t="shared" si="2400"/>
        <v>0</v>
      </c>
      <c r="BK873" s="92"/>
      <c r="BL873" s="92"/>
      <c r="BM873" s="92"/>
      <c r="BN873" s="92"/>
      <c r="BO873" s="989">
        <f t="shared" si="2401"/>
        <v>0</v>
      </c>
      <c r="BP873" s="989"/>
      <c r="BQ873" s="989"/>
      <c r="BR873" s="989"/>
      <c r="BS873" s="84"/>
    </row>
    <row r="874" spans="1:71" s="85" customFormat="1" ht="15">
      <c r="A874" s="82" t="str">
        <f t="shared" si="2374"/>
        <v>Gain on disposition of operations</v>
      </c>
      <c r="B874" s="166"/>
      <c r="C874" s="989">
        <f t="shared" si="2375"/>
        <v>-7</v>
      </c>
      <c r="D874" s="989">
        <f t="shared" si="2375"/>
        <v>-11</v>
      </c>
      <c r="E874" s="989">
        <f t="shared" si="2375"/>
        <v>7</v>
      </c>
      <c r="F874" s="989">
        <f t="shared" si="2375"/>
        <v>-18</v>
      </c>
      <c r="G874" s="989">
        <f t="shared" si="2375"/>
        <v>688</v>
      </c>
      <c r="H874" s="92">
        <f t="shared" si="2375"/>
        <v>59</v>
      </c>
      <c r="I874" s="92">
        <f t="shared" si="2376"/>
        <v>-9</v>
      </c>
      <c r="J874" s="92">
        <f t="shared" si="2376"/>
        <v>27</v>
      </c>
      <c r="K874" s="92">
        <f t="shared" si="2376"/>
        <v>-3</v>
      </c>
      <c r="L874" s="989">
        <f t="shared" si="2377"/>
        <v>74</v>
      </c>
      <c r="M874" s="92">
        <f t="shared" si="2377"/>
        <v>1</v>
      </c>
      <c r="N874" s="92">
        <f t="shared" si="2378"/>
        <v>-1</v>
      </c>
      <c r="O874" s="92">
        <f t="shared" si="2378"/>
        <v>-2</v>
      </c>
      <c r="P874" s="92">
        <f t="shared" si="2378"/>
        <v>-1</v>
      </c>
      <c r="Q874" s="989">
        <f t="shared" si="2379"/>
        <v>-3</v>
      </c>
      <c r="R874" s="92">
        <f t="shared" si="2379"/>
        <v>-2</v>
      </c>
      <c r="S874" s="92">
        <f t="shared" si="2380"/>
        <v>-1</v>
      </c>
      <c r="T874" s="92">
        <f t="shared" si="2380"/>
        <v>-1</v>
      </c>
      <c r="U874" s="92">
        <f t="shared" si="2380"/>
        <v>-1</v>
      </c>
      <c r="V874" s="989">
        <f t="shared" si="2381"/>
        <v>-5</v>
      </c>
      <c r="W874" s="92">
        <f t="shared" si="2381"/>
        <v>-2</v>
      </c>
      <c r="X874" s="92">
        <f t="shared" si="2382"/>
        <v>-12</v>
      </c>
      <c r="Y874" s="92">
        <f t="shared" si="2382"/>
        <v>-1</v>
      </c>
      <c r="Z874" s="92">
        <f t="shared" si="2382"/>
        <v>-5</v>
      </c>
      <c r="AA874" s="989">
        <f t="shared" si="2383"/>
        <v>-20</v>
      </c>
      <c r="AB874" s="92">
        <f t="shared" si="2383"/>
        <v>-1</v>
      </c>
      <c r="AC874" s="92">
        <f t="shared" si="2384"/>
        <v>-2</v>
      </c>
      <c r="AD874" s="92">
        <f t="shared" si="2384"/>
        <v>-1</v>
      </c>
      <c r="AE874" s="92">
        <f t="shared" si="2384"/>
        <v>-2</v>
      </c>
      <c r="AF874" s="989">
        <f t="shared" si="2385"/>
        <v>-6</v>
      </c>
      <c r="AG874" s="92">
        <f t="shared" si="2385"/>
        <v>-1</v>
      </c>
      <c r="AH874" s="92">
        <f t="shared" si="2386"/>
        <v>-2</v>
      </c>
      <c r="AI874" s="92">
        <f t="shared" si="2386"/>
        <v>0</v>
      </c>
      <c r="AJ874" s="92">
        <f t="shared" si="2386"/>
        <v>-3</v>
      </c>
      <c r="AK874" s="989">
        <f t="shared" si="2387"/>
        <v>-6</v>
      </c>
      <c r="AL874" s="92">
        <f t="shared" si="2387"/>
        <v>-1</v>
      </c>
      <c r="AM874" s="92">
        <f t="shared" si="2388"/>
        <v>-1</v>
      </c>
      <c r="AN874" s="92">
        <f t="shared" si="2388"/>
        <v>-1</v>
      </c>
      <c r="AO874" s="92">
        <f t="shared" si="2388"/>
        <v>-1</v>
      </c>
      <c r="AP874" s="989">
        <f t="shared" si="2389"/>
        <v>-4</v>
      </c>
      <c r="AQ874" s="92">
        <f t="shared" si="2389"/>
        <v>-2</v>
      </c>
      <c r="AR874" s="92">
        <f t="shared" si="2390"/>
        <v>-2</v>
      </c>
      <c r="AS874" s="92">
        <f t="shared" si="2390"/>
        <v>-1</v>
      </c>
      <c r="AT874" s="92">
        <f t="shared" si="2390"/>
        <v>1</v>
      </c>
      <c r="AU874" s="989">
        <f t="shared" si="2391"/>
        <v>-4</v>
      </c>
      <c r="AV874" s="92">
        <f t="shared" si="2391"/>
        <v>0</v>
      </c>
      <c r="AW874" s="92">
        <f t="shared" si="2392"/>
        <v>0</v>
      </c>
      <c r="AX874" s="92">
        <f t="shared" si="2392"/>
        <v>0</v>
      </c>
      <c r="AY874" s="92">
        <f t="shared" si="2392"/>
        <v>0</v>
      </c>
      <c r="AZ874" s="989">
        <f t="shared" si="2406" ref="AZ874">AZ802</f>
        <v>0</v>
      </c>
      <c r="BA874" s="92">
        <f t="shared" si="2394"/>
        <v>0</v>
      </c>
      <c r="BB874" s="92">
        <f t="shared" si="2395"/>
        <v>0</v>
      </c>
      <c r="BC874" s="92">
        <f t="shared" si="2395"/>
        <v>0</v>
      </c>
      <c r="BD874" s="92">
        <f t="shared" si="2396"/>
        <v>0</v>
      </c>
      <c r="BE874" s="989">
        <f t="shared" si="2397"/>
        <v>0</v>
      </c>
      <c r="BF874" s="92">
        <f t="shared" si="2397"/>
        <v>0</v>
      </c>
      <c r="BG874" s="92">
        <f t="shared" si="2398"/>
        <v>0</v>
      </c>
      <c r="BH874" s="464">
        <f t="shared" si="2399"/>
        <v>0</v>
      </c>
      <c r="BI874" s="92"/>
      <c r="BJ874" s="989">
        <f t="shared" si="2400"/>
        <v>0</v>
      </c>
      <c r="BK874" s="92"/>
      <c r="BL874" s="92"/>
      <c r="BM874" s="92"/>
      <c r="BN874" s="92"/>
      <c r="BO874" s="989">
        <f t="shared" si="2401"/>
        <v>0</v>
      </c>
      <c r="BP874" s="989"/>
      <c r="BQ874" s="989"/>
      <c r="BR874" s="989"/>
      <c r="BS874" s="84"/>
    </row>
    <row r="875" spans="1:71" s="85" customFormat="1" ht="15">
      <c r="A875" s="82" t="str">
        <f t="shared" si="2374"/>
        <v>Deferred income taxes</v>
      </c>
      <c r="B875" s="166"/>
      <c r="C875" s="989">
        <f t="shared" si="2375"/>
        <v>0</v>
      </c>
      <c r="D875" s="989">
        <f t="shared" si="2375"/>
        <v>0</v>
      </c>
      <c r="E875" s="989">
        <f t="shared" si="2375"/>
        <v>0</v>
      </c>
      <c r="F875" s="989">
        <f t="shared" si="2375"/>
        <v>0</v>
      </c>
      <c r="G875" s="989">
        <f t="shared" si="2375"/>
        <v>0</v>
      </c>
      <c r="H875" s="92">
        <f t="shared" si="2375"/>
        <v>0</v>
      </c>
      <c r="I875" s="92">
        <f t="shared" si="2376"/>
        <v>0</v>
      </c>
      <c r="J875" s="92">
        <f t="shared" si="2376"/>
        <v>0</v>
      </c>
      <c r="K875" s="92">
        <f t="shared" si="2376"/>
        <v>0</v>
      </c>
      <c r="L875" s="989">
        <f t="shared" si="2377"/>
        <v>0</v>
      </c>
      <c r="M875" s="92">
        <f t="shared" si="2377"/>
        <v>0</v>
      </c>
      <c r="N875" s="92">
        <f t="shared" si="2378"/>
        <v>0</v>
      </c>
      <c r="O875" s="92">
        <f t="shared" si="2378"/>
        <v>0</v>
      </c>
      <c r="P875" s="92">
        <f t="shared" si="2378"/>
        <v>0</v>
      </c>
      <c r="Q875" s="989">
        <f t="shared" si="2379"/>
        <v>0</v>
      </c>
      <c r="R875" s="92">
        <f t="shared" si="2379"/>
        <v>0</v>
      </c>
      <c r="S875" s="92">
        <f t="shared" si="2380"/>
        <v>0</v>
      </c>
      <c r="T875" s="92">
        <f t="shared" si="2380"/>
        <v>0</v>
      </c>
      <c r="U875" s="92">
        <f t="shared" si="2380"/>
        <v>0</v>
      </c>
      <c r="V875" s="989">
        <f t="shared" si="2381"/>
        <v>0</v>
      </c>
      <c r="W875" s="92">
        <f t="shared" si="2381"/>
        <v>0</v>
      </c>
      <c r="X875" s="92">
        <f t="shared" si="2382"/>
        <v>0</v>
      </c>
      <c r="Y875" s="92">
        <f t="shared" si="2382"/>
        <v>0</v>
      </c>
      <c r="Z875" s="92">
        <f t="shared" si="2382"/>
        <v>0</v>
      </c>
      <c r="AA875" s="989">
        <f t="shared" si="2383"/>
        <v>0</v>
      </c>
      <c r="AB875" s="92">
        <f t="shared" si="2383"/>
        <v>0</v>
      </c>
      <c r="AC875" s="92">
        <f t="shared" si="2384"/>
        <v>0</v>
      </c>
      <c r="AD875" s="92">
        <f t="shared" si="2384"/>
        <v>0</v>
      </c>
      <c r="AE875" s="92">
        <f t="shared" si="2384"/>
        <v>0</v>
      </c>
      <c r="AF875" s="989">
        <f t="shared" si="2385"/>
        <v>0</v>
      </c>
      <c r="AG875" s="92">
        <f t="shared" si="2385"/>
        <v>0</v>
      </c>
      <c r="AH875" s="92">
        <f t="shared" si="2386"/>
        <v>0</v>
      </c>
      <c r="AI875" s="92">
        <f t="shared" si="2386"/>
        <v>0</v>
      </c>
      <c r="AJ875" s="92">
        <f t="shared" si="2386"/>
        <v>0</v>
      </c>
      <c r="AK875" s="989">
        <f t="shared" si="2387"/>
        <v>0</v>
      </c>
      <c r="AL875" s="92">
        <f t="shared" si="2387"/>
        <v>0</v>
      </c>
      <c r="AM875" s="92">
        <f t="shared" si="2388"/>
        <v>0</v>
      </c>
      <c r="AN875" s="92">
        <f t="shared" si="2388"/>
        <v>0</v>
      </c>
      <c r="AO875" s="92">
        <f t="shared" si="2388"/>
        <v>0</v>
      </c>
      <c r="AP875" s="989">
        <f t="shared" si="2389"/>
        <v>0</v>
      </c>
      <c r="AQ875" s="92">
        <f t="shared" si="2389"/>
        <v>0</v>
      </c>
      <c r="AR875" s="92">
        <f t="shared" si="2390"/>
        <v>0</v>
      </c>
      <c r="AS875" s="92">
        <f t="shared" si="2390"/>
        <v>0</v>
      </c>
      <c r="AT875" s="92">
        <f t="shared" si="2390"/>
        <v>0</v>
      </c>
      <c r="AU875" s="989">
        <f t="shared" si="2391"/>
        <v>0</v>
      </c>
      <c r="AV875" s="92">
        <f t="shared" si="2391"/>
        <v>0</v>
      </c>
      <c r="AW875" s="92">
        <f t="shared" si="2392"/>
        <v>0</v>
      </c>
      <c r="AX875" s="92">
        <f t="shared" si="2392"/>
        <v>0</v>
      </c>
      <c r="AY875" s="92">
        <f t="shared" si="2392"/>
        <v>0</v>
      </c>
      <c r="AZ875" s="989">
        <f t="shared" si="2407" ref="AZ875">AZ803</f>
        <v>0</v>
      </c>
      <c r="BA875" s="92">
        <f t="shared" si="2394"/>
        <v>0</v>
      </c>
      <c r="BB875" s="92">
        <f t="shared" si="2395"/>
        <v>0</v>
      </c>
      <c r="BC875" s="92">
        <f t="shared" si="2395"/>
        <v>0</v>
      </c>
      <c r="BD875" s="92">
        <f t="shared" si="2396"/>
        <v>0</v>
      </c>
      <c r="BE875" s="989">
        <f t="shared" si="2397"/>
        <v>0</v>
      </c>
      <c r="BF875" s="92">
        <f t="shared" si="2397"/>
        <v>0</v>
      </c>
      <c r="BG875" s="92">
        <f t="shared" si="2398"/>
        <v>0</v>
      </c>
      <c r="BH875" s="464">
        <f t="shared" si="2399"/>
        <v>0</v>
      </c>
      <c r="BI875" s="92">
        <f>BI688</f>
        <v>0</v>
      </c>
      <c r="BJ875" s="989">
        <f t="shared" si="2400"/>
        <v>0</v>
      </c>
      <c r="BK875" s="92">
        <f>BK688</f>
        <v>0</v>
      </c>
      <c r="BL875" s="92">
        <f>BL688</f>
        <v>0</v>
      </c>
      <c r="BM875" s="92">
        <f>BM688</f>
        <v>0</v>
      </c>
      <c r="BN875" s="92">
        <f>BN688</f>
        <v>0</v>
      </c>
      <c r="BO875" s="989">
        <f t="shared" si="2401"/>
        <v>0</v>
      </c>
      <c r="BP875" s="989">
        <f>BP688</f>
        <v>0</v>
      </c>
      <c r="BQ875" s="989">
        <f>BQ688</f>
        <v>0</v>
      </c>
      <c r="BR875" s="989">
        <f>BR688</f>
        <v>0</v>
      </c>
      <c r="BS875" s="84"/>
    </row>
    <row r="876" spans="1:71" s="85" customFormat="1" ht="15">
      <c r="A876" s="82" t="str">
        <f t="shared" si="2374"/>
        <v>Interest credited to contractholder funds</v>
      </c>
      <c r="B876" s="166"/>
      <c r="C876" s="989">
        <f t="shared" si="2375"/>
        <v>2126</v>
      </c>
      <c r="D876" s="989">
        <f t="shared" si="2375"/>
        <v>1807</v>
      </c>
      <c r="E876" s="989">
        <f t="shared" si="2375"/>
        <v>1645</v>
      </c>
      <c r="F876" s="989">
        <f t="shared" si="2375"/>
        <v>1316</v>
      </c>
      <c r="G876" s="989">
        <f t="shared" si="2375"/>
        <v>1278</v>
      </c>
      <c r="H876" s="92">
        <f t="shared" si="2375"/>
        <v>307</v>
      </c>
      <c r="I876" s="92">
        <f t="shared" si="2376"/>
        <v>212</v>
      </c>
      <c r="J876" s="92">
        <f t="shared" si="2376"/>
        <v>198</v>
      </c>
      <c r="K876" s="92">
        <f t="shared" si="2376"/>
        <v>202</v>
      </c>
      <c r="L876" s="989">
        <f t="shared" si="2377"/>
        <v>919</v>
      </c>
      <c r="M876" s="92">
        <f t="shared" si="2377"/>
        <v>199</v>
      </c>
      <c r="N876" s="92">
        <f t="shared" si="2378"/>
        <v>185</v>
      </c>
      <c r="O876" s="92">
        <f t="shared" si="2378"/>
        <v>194</v>
      </c>
      <c r="P876" s="92">
        <f t="shared" si="2378"/>
        <v>183</v>
      </c>
      <c r="Q876" s="989">
        <f t="shared" si="2379"/>
        <v>761</v>
      </c>
      <c r="R876" s="92">
        <f t="shared" si="2379"/>
        <v>190</v>
      </c>
      <c r="S876" s="92">
        <f t="shared" si="2380"/>
        <v>185</v>
      </c>
      <c r="T876" s="92">
        <f t="shared" si="2380"/>
        <v>183</v>
      </c>
      <c r="U876" s="92">
        <f t="shared" si="2380"/>
        <v>168</v>
      </c>
      <c r="V876" s="989">
        <f t="shared" si="2381"/>
        <v>726</v>
      </c>
      <c r="W876" s="92">
        <f t="shared" si="2381"/>
        <v>173</v>
      </c>
      <c r="X876" s="92">
        <f t="shared" si="2382"/>
        <v>175</v>
      </c>
      <c r="Y876" s="92">
        <f t="shared" si="2382"/>
        <v>174</v>
      </c>
      <c r="Z876" s="92">
        <f t="shared" si="2382"/>
        <v>168</v>
      </c>
      <c r="AA876" s="989">
        <f t="shared" si="2383"/>
        <v>690</v>
      </c>
      <c r="AB876" s="92">
        <f t="shared" si="2383"/>
        <v>161</v>
      </c>
      <c r="AC876" s="92">
        <f t="shared" si="2384"/>
        <v>165</v>
      </c>
      <c r="AD876" s="92">
        <f t="shared" si="2384"/>
        <v>163</v>
      </c>
      <c r="AE876" s="92">
        <f t="shared" si="2384"/>
        <v>165</v>
      </c>
      <c r="AF876" s="989">
        <f t="shared" si="2385"/>
        <v>654</v>
      </c>
      <c r="AG876" s="92">
        <f t="shared" si="2385"/>
        <v>162</v>
      </c>
      <c r="AH876" s="92">
        <f t="shared" si="2386"/>
        <v>156</v>
      </c>
      <c r="AI876" s="92">
        <f t="shared" si="2386"/>
        <v>169</v>
      </c>
      <c r="AJ876" s="92">
        <f t="shared" si="2386"/>
        <v>153</v>
      </c>
      <c r="AK876" s="989">
        <f t="shared" si="2387"/>
        <v>640</v>
      </c>
      <c r="AL876" s="92">
        <f t="shared" si="2387"/>
        <v>132</v>
      </c>
      <c r="AM876" s="92">
        <f t="shared" si="2388"/>
        <v>200</v>
      </c>
      <c r="AN876" s="92">
        <f t="shared" si="2388"/>
        <v>150</v>
      </c>
      <c r="AO876" s="92">
        <f t="shared" si="2388"/>
        <v>156</v>
      </c>
      <c r="AP876" s="989">
        <f t="shared" si="2389"/>
        <v>638</v>
      </c>
      <c r="AQ876" s="92">
        <f t="shared" si="2389"/>
        <v>94</v>
      </c>
      <c r="AR876" s="92">
        <f t="shared" si="2390"/>
        <v>167</v>
      </c>
      <c r="AS876" s="92">
        <f t="shared" si="2390"/>
        <v>135</v>
      </c>
      <c r="AT876" s="92">
        <f t="shared" si="2390"/>
        <v>52</v>
      </c>
      <c r="AU876" s="989">
        <f t="shared" si="2391"/>
        <v>448</v>
      </c>
      <c r="AV876" s="92">
        <f t="shared" si="2391"/>
        <v>0</v>
      </c>
      <c r="AW876" s="92">
        <f t="shared" si="2392"/>
        <v>0</v>
      </c>
      <c r="AX876" s="92">
        <f t="shared" si="2392"/>
        <v>0</v>
      </c>
      <c r="AY876" s="92">
        <f t="shared" si="2392"/>
        <v>0</v>
      </c>
      <c r="AZ876" s="989">
        <f t="shared" si="2408" ref="AZ876">AZ804</f>
        <v>0</v>
      </c>
      <c r="BA876" s="92">
        <f t="shared" si="2394"/>
        <v>0</v>
      </c>
      <c r="BB876" s="92">
        <f t="shared" si="2395"/>
        <v>0</v>
      </c>
      <c r="BC876" s="92">
        <f t="shared" si="2395"/>
        <v>0</v>
      </c>
      <c r="BD876" s="92">
        <f t="shared" si="2396"/>
        <v>0</v>
      </c>
      <c r="BE876" s="989">
        <f t="shared" si="2397"/>
        <v>0</v>
      </c>
      <c r="BF876" s="92">
        <f t="shared" si="2397"/>
        <v>0</v>
      </c>
      <c r="BG876" s="92">
        <f t="shared" si="2398"/>
        <v>0</v>
      </c>
      <c r="BH876" s="464">
        <f t="shared" si="2399"/>
        <v>0</v>
      </c>
      <c r="BI876" s="92"/>
      <c r="BJ876" s="989">
        <f t="shared" si="2400"/>
        <v>0</v>
      </c>
      <c r="BK876" s="92"/>
      <c r="BL876" s="92"/>
      <c r="BM876" s="92"/>
      <c r="BN876" s="92"/>
      <c r="BO876" s="989">
        <f t="shared" si="2401"/>
        <v>0</v>
      </c>
      <c r="BP876" s="989"/>
      <c r="BQ876" s="989"/>
      <c r="BR876" s="989"/>
      <c r="BS876" s="84"/>
    </row>
    <row r="877" spans="1:71" s="85" customFormat="1" ht="15">
      <c r="A877" s="82" t="str">
        <f t="shared" si="2374"/>
        <v>Loss of disposition of operations</v>
      </c>
      <c r="B877" s="166"/>
      <c r="C877" s="989">
        <f t="shared" si="2375"/>
        <v>0</v>
      </c>
      <c r="D877" s="989">
        <f t="shared" si="2375"/>
        <v>0</v>
      </c>
      <c r="E877" s="989">
        <f t="shared" si="2375"/>
        <v>0</v>
      </c>
      <c r="F877" s="989">
        <f t="shared" si="2375"/>
        <v>0</v>
      </c>
      <c r="G877" s="989">
        <f t="shared" si="2375"/>
        <v>0</v>
      </c>
      <c r="H877" s="92">
        <f t="shared" si="2375"/>
        <v>0</v>
      </c>
      <c r="I877" s="92">
        <f t="shared" si="2376"/>
        <v>0</v>
      </c>
      <c r="J877" s="92">
        <f t="shared" si="2376"/>
        <v>0</v>
      </c>
      <c r="K877" s="92">
        <f t="shared" si="2376"/>
        <v>0</v>
      </c>
      <c r="L877" s="989">
        <f t="shared" si="2377"/>
        <v>0</v>
      </c>
      <c r="M877" s="92">
        <f t="shared" si="2377"/>
        <v>0</v>
      </c>
      <c r="N877" s="92">
        <f t="shared" si="2378"/>
        <v>0</v>
      </c>
      <c r="O877" s="92">
        <f t="shared" si="2378"/>
        <v>0</v>
      </c>
      <c r="P877" s="92">
        <f t="shared" si="2378"/>
        <v>0</v>
      </c>
      <c r="Q877" s="989">
        <f t="shared" si="2379"/>
        <v>0</v>
      </c>
      <c r="R877" s="92">
        <f t="shared" si="2379"/>
        <v>0</v>
      </c>
      <c r="S877" s="92">
        <f t="shared" si="2380"/>
        <v>0</v>
      </c>
      <c r="T877" s="92">
        <f t="shared" si="2380"/>
        <v>0</v>
      </c>
      <c r="U877" s="92">
        <f t="shared" si="2380"/>
        <v>0</v>
      </c>
      <c r="V877" s="989">
        <f t="shared" si="2381"/>
        <v>0</v>
      </c>
      <c r="W877" s="92">
        <f t="shared" si="2381"/>
        <v>0</v>
      </c>
      <c r="X877" s="92">
        <f t="shared" si="2382"/>
        <v>0</v>
      </c>
      <c r="Y877" s="92">
        <f t="shared" si="2382"/>
        <v>0</v>
      </c>
      <c r="Z877" s="92">
        <f t="shared" si="2382"/>
        <v>0</v>
      </c>
      <c r="AA877" s="989">
        <f t="shared" si="2383"/>
        <v>0</v>
      </c>
      <c r="AB877" s="92">
        <f t="shared" si="2383"/>
        <v>0</v>
      </c>
      <c r="AC877" s="92">
        <f t="shared" si="2384"/>
        <v>0</v>
      </c>
      <c r="AD877" s="92">
        <f t="shared" si="2384"/>
        <v>0</v>
      </c>
      <c r="AE877" s="92">
        <f t="shared" si="2384"/>
        <v>0</v>
      </c>
      <c r="AF877" s="989">
        <f t="shared" si="2385"/>
        <v>0</v>
      </c>
      <c r="AG877" s="92">
        <f t="shared" si="2385"/>
        <v>0</v>
      </c>
      <c r="AH877" s="92">
        <f t="shared" si="2386"/>
        <v>0</v>
      </c>
      <c r="AI877" s="92">
        <f t="shared" si="2386"/>
        <v>0</v>
      </c>
      <c r="AJ877" s="92">
        <f t="shared" si="2386"/>
        <v>0</v>
      </c>
      <c r="AK877" s="989">
        <f t="shared" si="2387"/>
        <v>0</v>
      </c>
      <c r="AL877" s="92">
        <f t="shared" si="2387"/>
        <v>0</v>
      </c>
      <c r="AM877" s="92">
        <f t="shared" si="2388"/>
        <v>0</v>
      </c>
      <c r="AN877" s="92">
        <f t="shared" si="2388"/>
        <v>0</v>
      </c>
      <c r="AO877" s="92">
        <f t="shared" si="2388"/>
        <v>0</v>
      </c>
      <c r="AP877" s="989">
        <f t="shared" si="2389"/>
        <v>0</v>
      </c>
      <c r="AQ877" s="92">
        <f t="shared" si="2389"/>
        <v>3998</v>
      </c>
      <c r="AR877" s="92">
        <f t="shared" si="2390"/>
        <v>-27</v>
      </c>
      <c r="AS877" s="92">
        <f t="shared" si="2390"/>
        <v>-217</v>
      </c>
      <c r="AT877" s="92">
        <f t="shared" si="2390"/>
        <v>277</v>
      </c>
      <c r="AU877" s="989">
        <f t="shared" si="2391"/>
        <v>4031</v>
      </c>
      <c r="AV877" s="92">
        <f t="shared" si="2391"/>
        <v>0</v>
      </c>
      <c r="AW877" s="92">
        <f t="shared" si="2392"/>
        <v>0</v>
      </c>
      <c r="AX877" s="92">
        <f t="shared" si="2392"/>
        <v>0</v>
      </c>
      <c r="AY877" s="92">
        <f t="shared" si="2392"/>
        <v>0</v>
      </c>
      <c r="AZ877" s="989">
        <f t="shared" si="2409" ref="AZ877">AZ805</f>
        <v>0</v>
      </c>
      <c r="BA877" s="92">
        <f t="shared" si="2394"/>
        <v>0</v>
      </c>
      <c r="BB877" s="92">
        <f t="shared" si="2395"/>
        <v>0</v>
      </c>
      <c r="BC877" s="92">
        <f t="shared" si="2395"/>
        <v>0</v>
      </c>
      <c r="BD877" s="92">
        <f t="shared" si="2396"/>
        <v>0</v>
      </c>
      <c r="BE877" s="989">
        <f t="shared" si="2397"/>
        <v>0</v>
      </c>
      <c r="BF877" s="92">
        <f t="shared" si="2397"/>
        <v>0</v>
      </c>
      <c r="BG877" s="92">
        <f t="shared" si="2398"/>
        <v>0</v>
      </c>
      <c r="BH877" s="464">
        <f t="shared" si="2399"/>
        <v>0</v>
      </c>
      <c r="BI877" s="92"/>
      <c r="BJ877" s="989">
        <f t="shared" si="2400"/>
        <v>0</v>
      </c>
      <c r="BK877" s="92"/>
      <c r="BL877" s="92"/>
      <c r="BM877" s="92"/>
      <c r="BN877" s="92"/>
      <c r="BO877" s="989">
        <f t="shared" si="2401"/>
        <v>0</v>
      </c>
      <c r="BP877" s="989"/>
      <c r="BQ877" s="989"/>
      <c r="BR877" s="989"/>
      <c r="BS877" s="84"/>
    </row>
    <row r="878" spans="1:71" s="85" customFormat="1" ht="15">
      <c r="A878" s="349" t="str">
        <f t="shared" si="2374"/>
        <v>Impairment of Intangibles</v>
      </c>
      <c r="B878" s="395"/>
      <c r="C878" s="995">
        <f t="shared" si="2375"/>
        <v>0</v>
      </c>
      <c r="D878" s="995">
        <f t="shared" si="2375"/>
        <v>0</v>
      </c>
      <c r="E878" s="995">
        <f t="shared" si="2375"/>
        <v>0</v>
      </c>
      <c r="F878" s="995">
        <f t="shared" si="2375"/>
        <v>0</v>
      </c>
      <c r="G878" s="995">
        <f t="shared" si="2375"/>
        <v>0</v>
      </c>
      <c r="H878" s="115">
        <f t="shared" si="2375"/>
        <v>0</v>
      </c>
      <c r="I878" s="115">
        <f t="shared" si="2376"/>
        <v>0</v>
      </c>
      <c r="J878" s="115">
        <f t="shared" si="2376"/>
        <v>0</v>
      </c>
      <c r="K878" s="115">
        <f t="shared" si="2376"/>
        <v>0</v>
      </c>
      <c r="L878" s="995">
        <f t="shared" si="2377"/>
        <v>0</v>
      </c>
      <c r="M878" s="115">
        <f t="shared" si="2377"/>
        <v>0</v>
      </c>
      <c r="N878" s="115">
        <f t="shared" si="2378"/>
        <v>0</v>
      </c>
      <c r="O878" s="115">
        <f t="shared" si="2378"/>
        <v>0</v>
      </c>
      <c r="P878" s="115">
        <f t="shared" si="2378"/>
        <v>0</v>
      </c>
      <c r="Q878" s="995">
        <f t="shared" si="2379"/>
        <v>0</v>
      </c>
      <c r="R878" s="115">
        <f t="shared" si="2379"/>
        <v>0</v>
      </c>
      <c r="S878" s="115">
        <f t="shared" si="2380"/>
        <v>0</v>
      </c>
      <c r="T878" s="115">
        <f t="shared" si="2380"/>
        <v>0</v>
      </c>
      <c r="U878" s="115">
        <f t="shared" si="2380"/>
        <v>0</v>
      </c>
      <c r="V878" s="995">
        <f t="shared" si="2381"/>
        <v>0</v>
      </c>
      <c r="W878" s="115">
        <f t="shared" si="2381"/>
        <v>0</v>
      </c>
      <c r="X878" s="115">
        <f t="shared" si="2382"/>
        <v>0</v>
      </c>
      <c r="Y878" s="115">
        <f t="shared" si="2382"/>
        <v>0</v>
      </c>
      <c r="Z878" s="115">
        <f t="shared" si="2382"/>
        <v>125</v>
      </c>
      <c r="AA878" s="995">
        <f t="shared" si="2383"/>
        <v>125</v>
      </c>
      <c r="AB878" s="115">
        <f t="shared" si="2383"/>
        <v>0</v>
      </c>
      <c r="AC878" s="115">
        <f t="shared" si="2384"/>
        <v>0</v>
      </c>
      <c r="AD878" s="115">
        <f t="shared" si="2384"/>
        <v>0</v>
      </c>
      <c r="AE878" s="115">
        <f t="shared" si="2384"/>
        <v>0</v>
      </c>
      <c r="AF878" s="995">
        <f t="shared" si="2385"/>
        <v>0</v>
      </c>
      <c r="AG878" s="115">
        <f t="shared" si="2385"/>
        <v>0</v>
      </c>
      <c r="AH878" s="115">
        <f t="shared" si="2386"/>
        <v>55</v>
      </c>
      <c r="AI878" s="115">
        <f t="shared" si="2386"/>
        <v>0</v>
      </c>
      <c r="AJ878" s="115">
        <f t="shared" si="2386"/>
        <v>51</v>
      </c>
      <c r="AK878" s="995">
        <f t="shared" si="2387"/>
        <v>106</v>
      </c>
      <c r="AL878" s="115">
        <f t="shared" si="2387"/>
        <v>0</v>
      </c>
      <c r="AM878" s="115">
        <f t="shared" si="2388"/>
        <v>0</v>
      </c>
      <c r="AN878" s="115">
        <f t="shared" si="2388"/>
        <v>0</v>
      </c>
      <c r="AO878" s="115">
        <f t="shared" si="2388"/>
        <v>0</v>
      </c>
      <c r="AP878" s="995">
        <f t="shared" si="2389"/>
        <v>0</v>
      </c>
      <c r="AQ878" s="115">
        <f t="shared" si="2389"/>
        <v>0</v>
      </c>
      <c r="AR878" s="115">
        <f t="shared" si="2390"/>
        <v>0</v>
      </c>
      <c r="AS878" s="115">
        <f t="shared" si="2390"/>
        <v>0</v>
      </c>
      <c r="AT878" s="115">
        <f t="shared" si="2390"/>
        <v>0</v>
      </c>
      <c r="AU878" s="995">
        <f t="shared" si="2391"/>
        <v>0</v>
      </c>
      <c r="AV878" s="115">
        <f t="shared" si="2391"/>
        <v>0</v>
      </c>
      <c r="AW878" s="115">
        <f t="shared" si="2392"/>
        <v>0</v>
      </c>
      <c r="AX878" s="115">
        <f t="shared" si="2392"/>
        <v>0</v>
      </c>
      <c r="AY878" s="115">
        <f t="shared" si="2392"/>
        <v>0</v>
      </c>
      <c r="AZ878" s="995">
        <f t="shared" si="2410" ref="AZ878">AZ806</f>
        <v>0</v>
      </c>
      <c r="BA878" s="115">
        <f t="shared" si="2394"/>
        <v>0</v>
      </c>
      <c r="BB878" s="115">
        <f t="shared" si="2395"/>
        <v>0</v>
      </c>
      <c r="BC878" s="115">
        <f t="shared" si="2395"/>
        <v>0</v>
      </c>
      <c r="BD878" s="115">
        <f t="shared" si="2396"/>
        <v>0</v>
      </c>
      <c r="BE878" s="995">
        <f t="shared" si="2397"/>
        <v>0</v>
      </c>
      <c r="BF878" s="115">
        <f t="shared" si="2397"/>
        <v>0</v>
      </c>
      <c r="BG878" s="115">
        <f t="shared" si="2398"/>
        <v>0</v>
      </c>
      <c r="BH878" s="641">
        <f t="shared" si="2399"/>
        <v>0</v>
      </c>
      <c r="BI878" s="115"/>
      <c r="BJ878" s="995">
        <f t="shared" si="2400"/>
        <v>0</v>
      </c>
      <c r="BK878" s="115"/>
      <c r="BL878" s="115"/>
      <c r="BM878" s="115"/>
      <c r="BN878" s="115"/>
      <c r="BO878" s="995">
        <f t="shared" si="2401"/>
        <v>0</v>
      </c>
      <c r="BP878" s="995"/>
      <c r="BQ878" s="995"/>
      <c r="BR878" s="995"/>
      <c r="BS878" s="84"/>
    </row>
    <row r="879" spans="1:71" s="131" customFormat="1" ht="15">
      <c r="A879" s="228" t="str">
        <f t="shared" si="2374"/>
        <v>CFO before WC</v>
      </c>
      <c r="B879" s="506"/>
      <c r="C879" s="997">
        <f t="shared" si="2411" ref="C879:AH879">SUM(C869:C878)</f>
        <v>3465</v>
      </c>
      <c r="D879" s="997">
        <f t="shared" si="2411"/>
        <v>3645</v>
      </c>
      <c r="E879" s="997">
        <f t="shared" si="2411"/>
        <v>2188</v>
      </c>
      <c r="F879" s="997">
        <f t="shared" si="2411"/>
        <v>3665</v>
      </c>
      <c r="G879" s="997">
        <f t="shared" si="2411"/>
        <v>4511</v>
      </c>
      <c r="H879" s="90">
        <f t="shared" si="2411"/>
        <v>1010</v>
      </c>
      <c r="I879" s="90">
        <f t="shared" si="2411"/>
        <v>700</v>
      </c>
      <c r="J879" s="90">
        <f t="shared" si="2411"/>
        <v>800</v>
      </c>
      <c r="K879" s="90">
        <f t="shared" si="2411"/>
        <v>1006</v>
      </c>
      <c r="L879" s="997">
        <f t="shared" si="2411"/>
        <v>3516</v>
      </c>
      <c r="M879" s="90">
        <f t="shared" si="2411"/>
        <v>825</v>
      </c>
      <c r="N879" s="90">
        <f t="shared" si="2411"/>
        <v>523</v>
      </c>
      <c r="O879" s="90">
        <f t="shared" si="2411"/>
        <v>905</v>
      </c>
      <c r="P879" s="90">
        <f t="shared" si="2411"/>
        <v>1017</v>
      </c>
      <c r="Q879" s="997">
        <f t="shared" si="2411"/>
        <v>3270</v>
      </c>
      <c r="R879" s="90">
        <f t="shared" si="2411"/>
        <v>674</v>
      </c>
      <c r="S879" s="90">
        <f t="shared" si="2411"/>
        <v>528</v>
      </c>
      <c r="T879" s="90">
        <f t="shared" si="2411"/>
        <v>766</v>
      </c>
      <c r="U879" s="90">
        <f t="shared" si="2411"/>
        <v>1102</v>
      </c>
      <c r="V879" s="997">
        <f t="shared" si="2411"/>
        <v>3070</v>
      </c>
      <c r="W879" s="90">
        <f t="shared" si="2411"/>
        <v>851</v>
      </c>
      <c r="X879" s="90">
        <f t="shared" si="2411"/>
        <v>780</v>
      </c>
      <c r="Y879" s="90">
        <f t="shared" si="2411"/>
        <v>856</v>
      </c>
      <c r="Z879" s="90">
        <f t="shared" si="2411"/>
        <v>1535</v>
      </c>
      <c r="AA879" s="997">
        <f t="shared" si="2411"/>
        <v>4022</v>
      </c>
      <c r="AB879" s="90">
        <f t="shared" si="2411"/>
        <v>1391</v>
      </c>
      <c r="AC879" s="90">
        <f t="shared" si="2411"/>
        <v>990</v>
      </c>
      <c r="AD879" s="90">
        <f t="shared" si="2411"/>
        <v>984</v>
      </c>
      <c r="AE879" s="90">
        <f t="shared" si="2411"/>
        <v>923</v>
      </c>
      <c r="AF879" s="997">
        <f t="shared" si="2411"/>
        <v>4288</v>
      </c>
      <c r="AG879" s="90">
        <f t="shared" si="2411"/>
        <v>963</v>
      </c>
      <c r="AH879" s="90">
        <f t="shared" si="2411"/>
        <v>1021</v>
      </c>
      <c r="AI879" s="90">
        <f t="shared" si="2412" ref="AI879:AX879">SUM(AI869:AI878)</f>
        <v>1287</v>
      </c>
      <c r="AJ879" s="90">
        <f t="shared" si="2412"/>
        <v>1192</v>
      </c>
      <c r="AK879" s="997">
        <f t="shared" si="2412"/>
        <v>4463</v>
      </c>
      <c r="AL879" s="90">
        <f t="shared" si="2412"/>
        <v>1615</v>
      </c>
      <c r="AM879" s="90">
        <f t="shared" si="2412"/>
        <v>981</v>
      </c>
      <c r="AN879" s="90">
        <f t="shared" si="2412"/>
        <v>973</v>
      </c>
      <c r="AO879" s="90">
        <f t="shared" si="2412"/>
        <v>1920</v>
      </c>
      <c r="AP879" s="997">
        <f t="shared" si="2412"/>
        <v>5489</v>
      </c>
      <c r="AQ879" s="90">
        <f t="shared" si="2412"/>
        <v>2148</v>
      </c>
      <c r="AR879" s="90">
        <f t="shared" si="2412"/>
        <v>1549</v>
      </c>
      <c r="AS879" s="90">
        <f t="shared" si="2412"/>
        <v>626</v>
      </c>
      <c r="AT879" s="90">
        <f t="shared" si="2412"/>
        <v>881</v>
      </c>
      <c r="AU879" s="997">
        <f t="shared" si="2412"/>
        <v>5204</v>
      </c>
      <c r="AV879" s="90">
        <f t="shared" si="2412"/>
        <v>906</v>
      </c>
      <c r="AW879" s="90">
        <f t="shared" si="2412"/>
        <v>186</v>
      </c>
      <c r="AX879" s="90">
        <f t="shared" si="2412"/>
        <v>-234</v>
      </c>
      <c r="AY879" s="90">
        <f t="shared" si="2413" ref="AY879:AZ879">SUM(AY869:AY878)</f>
        <v>-165</v>
      </c>
      <c r="AZ879" s="997">
        <f t="shared" si="2413"/>
        <v>693</v>
      </c>
      <c r="BA879" s="90">
        <f>SUM(BA869:BA878)</f>
        <v>-211</v>
      </c>
      <c r="BB879" s="90">
        <f>SUM(BB869:BB878)</f>
        <v>-1078</v>
      </c>
      <c r="BC879" s="90">
        <f>SUM(BC869:BC878)</f>
        <v>407</v>
      </c>
      <c r="BD879" s="90">
        <f t="shared" si="2414" ref="BD879:BE879">SUM(BD869:BD878)</f>
        <v>1682</v>
      </c>
      <c r="BE879" s="997">
        <f t="shared" si="2414"/>
        <v>800</v>
      </c>
      <c r="BF879" s="90">
        <f>SUM(BF869:BF878)</f>
        <v>1492</v>
      </c>
      <c r="BG879" s="90">
        <f>SUM(BG869:BG878)</f>
        <v>573</v>
      </c>
      <c r="BH879" s="747">
        <f>SUM(BH869:BH878)</f>
        <v>1087</v>
      </c>
      <c r="BI879" s="90">
        <f t="shared" si="2415" ref="BI879:BR879">SUM(BI869:BI878)</f>
        <v>1367.403136004099</v>
      </c>
      <c r="BJ879" s="997">
        <f t="shared" si="2415"/>
        <v>4519.403136004099</v>
      </c>
      <c r="BK879" s="90">
        <f t="shared" si="2415"/>
        <v>1487.2043861260277</v>
      </c>
      <c r="BL879" s="90">
        <f t="shared" si="2415"/>
        <v>897.28568412054733</v>
      </c>
      <c r="BM879" s="90">
        <f t="shared" si="2415"/>
        <v>1248.7151435068504</v>
      </c>
      <c r="BN879" s="90">
        <f t="shared" si="2415"/>
        <v>1708.4029141044405</v>
      </c>
      <c r="BO879" s="997">
        <f t="shared" si="2415"/>
        <v>5341.6081278578658</v>
      </c>
      <c r="BP879" s="997">
        <f t="shared" si="2415"/>
        <v>5709.4346056623654</v>
      </c>
      <c r="BQ879" s="997">
        <f t="shared" si="2415"/>
        <v>5844.631458205341</v>
      </c>
      <c r="BR879" s="997">
        <f t="shared" si="2415"/>
        <v>6000.4517650377838</v>
      </c>
      <c r="BS879" s="101"/>
    </row>
    <row r="880" spans="1:71" s="85" customFormat="1" ht="15">
      <c r="A880" s="82" t="str">
        <f t="shared" si="2374"/>
        <v>Policy benefits and other insurance reserves</v>
      </c>
      <c r="B880" s="166"/>
      <c r="C880" s="989">
        <f t="shared" si="2416" ref="C880:H888">C808</f>
        <v>-577</v>
      </c>
      <c r="D880" s="989">
        <f t="shared" si="2416"/>
        <v>238</v>
      </c>
      <c r="E880" s="989">
        <f t="shared" si="2416"/>
        <v>-77</v>
      </c>
      <c r="F880" s="989">
        <f t="shared" si="2416"/>
        <v>214</v>
      </c>
      <c r="G880" s="989">
        <f t="shared" si="2416"/>
        <v>-55</v>
      </c>
      <c r="H880" s="92">
        <f t="shared" si="2416"/>
        <v>-18</v>
      </c>
      <c r="I880" s="92">
        <f t="shared" si="2417" ref="I880:K888">I808-H808</f>
        <v>121</v>
      </c>
      <c r="J880" s="92">
        <f t="shared" si="2417"/>
        <v>-53</v>
      </c>
      <c r="K880" s="92">
        <f t="shared" si="2417"/>
        <v>491</v>
      </c>
      <c r="L880" s="989">
        <f t="shared" si="2418" ref="L880:M888">L808</f>
        <v>541</v>
      </c>
      <c r="M880" s="92">
        <f t="shared" si="2418"/>
        <v>115</v>
      </c>
      <c r="N880" s="92">
        <f t="shared" si="2419" ref="N880:P888">N808-M808</f>
        <v>411</v>
      </c>
      <c r="O880" s="92">
        <f t="shared" si="2419"/>
        <v>-26</v>
      </c>
      <c r="P880" s="92">
        <f t="shared" si="2419"/>
        <v>-27</v>
      </c>
      <c r="Q880" s="989">
        <f t="shared" si="2420" ref="Q880:R888">Q808</f>
        <v>473</v>
      </c>
      <c r="R880" s="92">
        <f t="shared" si="2420"/>
        <v>459</v>
      </c>
      <c r="S880" s="92">
        <f t="shared" si="2421" ref="S880:U888">S808-R808</f>
        <v>118</v>
      </c>
      <c r="T880" s="92">
        <f t="shared" si="2421"/>
        <v>401</v>
      </c>
      <c r="U880" s="92">
        <f t="shared" si="2421"/>
        <v>-347</v>
      </c>
      <c r="V880" s="989">
        <f t="shared" si="2422" ref="V880:W888">V808</f>
        <v>631</v>
      </c>
      <c r="W880" s="92">
        <f t="shared" si="2422"/>
        <v>183</v>
      </c>
      <c r="X880" s="92">
        <f t="shared" si="2423" ref="X880:Z888">X808-W808</f>
        <v>45</v>
      </c>
      <c r="Y880" s="92">
        <f t="shared" si="2423"/>
        <v>1048</v>
      </c>
      <c r="Z880" s="92">
        <f t="shared" si="2423"/>
        <v>-974</v>
      </c>
      <c r="AA880" s="989">
        <f t="shared" si="2424" ref="AA880:AB888">AA808</f>
        <v>302</v>
      </c>
      <c r="AB880" s="92">
        <f t="shared" si="2424"/>
        <v>-364</v>
      </c>
      <c r="AC880" s="92">
        <f t="shared" si="2425" ref="AC880:AE888">AC808-AB808</f>
        <v>342</v>
      </c>
      <c r="AD880" s="92">
        <f t="shared" si="2425"/>
        <v>112</v>
      </c>
      <c r="AE880" s="92">
        <f t="shared" si="2425"/>
        <v>379</v>
      </c>
      <c r="AF880" s="989">
        <f t="shared" si="2426" ref="AF880:AG888">AF808</f>
        <v>469</v>
      </c>
      <c r="AG880" s="92">
        <f t="shared" si="2426"/>
        <v>-114</v>
      </c>
      <c r="AH880" s="92">
        <f t="shared" si="2427" ref="AH880:AJ888">AH808-AG808</f>
        <v>325</v>
      </c>
      <c r="AI880" s="92">
        <f t="shared" si="2427"/>
        <v>-182</v>
      </c>
      <c r="AJ880" s="92">
        <f t="shared" si="2427"/>
        <v>-537</v>
      </c>
      <c r="AK880" s="989">
        <f t="shared" si="2428" ref="AK880:AL888">AK808</f>
        <v>-508</v>
      </c>
      <c r="AL880" s="92">
        <f t="shared" si="2428"/>
        <v>-654</v>
      </c>
      <c r="AM880" s="92">
        <f t="shared" si="2429" ref="AM880:AO888">AM808-AL808</f>
        <v>60</v>
      </c>
      <c r="AN880" s="92">
        <f t="shared" si="2429"/>
        <v>521</v>
      </c>
      <c r="AO880" s="92">
        <f t="shared" si="2429"/>
        <v>-609</v>
      </c>
      <c r="AP880" s="989">
        <f t="shared" si="2430" ref="AP880:AQ888">AP808</f>
        <v>-682</v>
      </c>
      <c r="AQ880" s="92">
        <f t="shared" si="2430"/>
        <v>817</v>
      </c>
      <c r="AR880" s="92">
        <f t="shared" si="2431" ref="AR880:AT888">AR808-AQ808</f>
        <v>37</v>
      </c>
      <c r="AS880" s="92">
        <f t="shared" si="2431"/>
        <v>1521</v>
      </c>
      <c r="AT880" s="92">
        <f t="shared" si="2431"/>
        <v>-391</v>
      </c>
      <c r="AU880" s="989">
        <f t="shared" si="2432" ref="AU880:AV888">AU808</f>
        <v>1984</v>
      </c>
      <c r="AV880" s="92">
        <f t="shared" si="2432"/>
        <v>-111</v>
      </c>
      <c r="AW880" s="92">
        <f t="shared" si="2433" ref="AW880:AY888">AW808-AV808</f>
        <v>1333</v>
      </c>
      <c r="AX880" s="92">
        <f t="shared" si="2433"/>
        <v>2242</v>
      </c>
      <c r="AY880" s="92">
        <f t="shared" si="2433"/>
        <v>981</v>
      </c>
      <c r="AZ880" s="989">
        <f t="shared" si="2434" ref="AZ880">AZ808</f>
        <v>4445</v>
      </c>
      <c r="BA880" s="92">
        <f t="shared" si="2435" ref="BA880:BA888">BA808</f>
        <v>1080</v>
      </c>
      <c r="BB880" s="92">
        <f t="shared" si="2436" ref="BB880:BC888">BB808-BA808</f>
        <v>1837</v>
      </c>
      <c r="BC880" s="92">
        <f t="shared" si="2436"/>
        <v>151</v>
      </c>
      <c r="BD880" s="92">
        <f t="shared" si="2437" ref="BD880:BD888">BD808-BC808</f>
        <v>-866</v>
      </c>
      <c r="BE880" s="989">
        <f t="shared" si="2438" ref="BE880:BF888">BE808</f>
        <v>2202</v>
      </c>
      <c r="BF880" s="92">
        <f t="shared" si="2438"/>
        <v>323</v>
      </c>
      <c r="BG880" s="92">
        <f t="shared" si="2439" ref="BG880:BG888">BG808-BF808</f>
        <v>1427</v>
      </c>
      <c r="BH880" s="464">
        <f t="shared" si="2440" ref="BH880:BH888">BH808-BG808</f>
        <v>1171</v>
      </c>
      <c r="BI880" s="92">
        <f>(BI557-BH557)+(BI291-BH291)+(BI591-BH591)</f>
        <v>0</v>
      </c>
      <c r="BJ880" s="989">
        <f t="shared" si="2441" ref="BJ880:BJ888">SUM(BF880,BG880,BH880,BI880)</f>
        <v>2921</v>
      </c>
      <c r="BK880" s="92">
        <f>(BK557-BJ557)+(BK291-BJ291)+(BK591-BJ591)</f>
        <v>0</v>
      </c>
      <c r="BL880" s="92">
        <f>(BL557-BK557)+(BL291-BK291)+(BL591-BK591)</f>
        <v>0</v>
      </c>
      <c r="BM880" s="92">
        <f>(BM557-BL557)+(BM291-BL291)+(BM591-BL591)</f>
        <v>0</v>
      </c>
      <c r="BN880" s="92">
        <f>(BN557-BM557)+(BN291-BM291)+(BN591-BM591)</f>
        <v>0</v>
      </c>
      <c r="BO880" s="989">
        <f t="shared" si="2442" ref="BO880:BO888">SUM(BK880,BL880,BM880,BN880)</f>
        <v>0</v>
      </c>
      <c r="BP880" s="989">
        <f>(BP557-BO557)+(BP291-BO291)+(BP591-BO591)</f>
        <v>0</v>
      </c>
      <c r="BQ880" s="989">
        <f>(BQ557-BP557)+(BQ291-BP291)+(BQ591-BP591)</f>
        <v>0</v>
      </c>
      <c r="BR880" s="989">
        <f>(BR557-BQ557)+(BR291-BQ291)+(BR591-BQ591)</f>
        <v>0</v>
      </c>
      <c r="BS880" s="84"/>
    </row>
    <row r="881" spans="1:71" s="85" customFormat="1" ht="15">
      <c r="A881" s="82" t="str">
        <f t="shared" si="2374"/>
        <v>Unearned premiums</v>
      </c>
      <c r="B881" s="166"/>
      <c r="C881" s="989">
        <f t="shared" si="2416"/>
        <v>-247</v>
      </c>
      <c r="D881" s="989">
        <f t="shared" si="2416"/>
        <v>-40</v>
      </c>
      <c r="E881" s="989">
        <f t="shared" si="2416"/>
        <v>37</v>
      </c>
      <c r="F881" s="989">
        <f t="shared" si="2416"/>
        <v>306</v>
      </c>
      <c r="G881" s="989">
        <f t="shared" si="2416"/>
        <v>602</v>
      </c>
      <c r="H881" s="92">
        <f t="shared" si="2416"/>
        <v>-92</v>
      </c>
      <c r="I881" s="92">
        <f t="shared" si="2417"/>
        <v>379</v>
      </c>
      <c r="J881" s="92">
        <f t="shared" si="2417"/>
        <v>535</v>
      </c>
      <c r="K881" s="92">
        <f t="shared" si="2417"/>
        <v>-56</v>
      </c>
      <c r="L881" s="989">
        <f t="shared" si="2418"/>
        <v>766</v>
      </c>
      <c r="M881" s="92">
        <f t="shared" si="2418"/>
        <v>-117</v>
      </c>
      <c r="N881" s="92">
        <f t="shared" si="2419"/>
        <v>361</v>
      </c>
      <c r="O881" s="92">
        <f t="shared" si="2419"/>
        <v>518</v>
      </c>
      <c r="P881" s="92">
        <f t="shared" si="2419"/>
        <v>-124</v>
      </c>
      <c r="Q881" s="989">
        <f t="shared" si="2420"/>
        <v>638</v>
      </c>
      <c r="R881" s="92">
        <f t="shared" si="2420"/>
        <v>-205</v>
      </c>
      <c r="S881" s="92">
        <f t="shared" si="2421"/>
        <v>267</v>
      </c>
      <c r="T881" s="92">
        <f t="shared" si="2421"/>
        <v>478</v>
      </c>
      <c r="U881" s="92">
        <f t="shared" si="2421"/>
        <v>-178</v>
      </c>
      <c r="V881" s="989">
        <f t="shared" si="2422"/>
        <v>362</v>
      </c>
      <c r="W881" s="92">
        <f t="shared" si="2422"/>
        <v>-248</v>
      </c>
      <c r="X881" s="92">
        <f t="shared" si="2423"/>
        <v>282</v>
      </c>
      <c r="Y881" s="92">
        <f t="shared" si="2423"/>
        <v>491</v>
      </c>
      <c r="Z881" s="92">
        <f t="shared" si="2423"/>
        <v>-62</v>
      </c>
      <c r="AA881" s="989">
        <f t="shared" si="2424"/>
        <v>463</v>
      </c>
      <c r="AB881" s="92">
        <f t="shared" si="2424"/>
        <v>-204</v>
      </c>
      <c r="AC881" s="92">
        <f t="shared" si="2425"/>
        <v>415</v>
      </c>
      <c r="AD881" s="92">
        <f t="shared" si="2425"/>
        <v>574</v>
      </c>
      <c r="AE881" s="92">
        <f t="shared" si="2425"/>
        <v>130</v>
      </c>
      <c r="AF881" s="989">
        <f t="shared" si="2426"/>
        <v>915</v>
      </c>
      <c r="AG881" s="92">
        <f t="shared" si="2426"/>
        <v>-201</v>
      </c>
      <c r="AH881" s="92">
        <f t="shared" si="2427"/>
        <v>415</v>
      </c>
      <c r="AI881" s="92">
        <f t="shared" si="2427"/>
        <v>599</v>
      </c>
      <c r="AJ881" s="92">
        <f t="shared" si="2427"/>
        <v>-12</v>
      </c>
      <c r="AK881" s="989">
        <f t="shared" si="2428"/>
        <v>801</v>
      </c>
      <c r="AL881" s="92">
        <f t="shared" si="2428"/>
        <v>-272</v>
      </c>
      <c r="AM881" s="92">
        <f t="shared" si="2429"/>
        <v>415</v>
      </c>
      <c r="AN881" s="92">
        <f t="shared" si="2429"/>
        <v>567</v>
      </c>
      <c r="AO881" s="92">
        <f t="shared" si="2429"/>
        <v>-112</v>
      </c>
      <c r="AP881" s="989">
        <f t="shared" si="2430"/>
        <v>598</v>
      </c>
      <c r="AQ881" s="92">
        <f t="shared" si="2430"/>
        <v>33</v>
      </c>
      <c r="AR881" s="92">
        <f t="shared" si="2431"/>
        <v>566</v>
      </c>
      <c r="AS881" s="92">
        <f t="shared" si="2431"/>
        <v>891</v>
      </c>
      <c r="AT881" s="92">
        <f t="shared" si="2431"/>
        <v>128</v>
      </c>
      <c r="AU881" s="989">
        <f t="shared" si="2432"/>
        <v>1618</v>
      </c>
      <c r="AV881" s="92">
        <f t="shared" si="2432"/>
        <v>390</v>
      </c>
      <c r="AW881" s="92">
        <f t="shared" si="2433"/>
        <v>811</v>
      </c>
      <c r="AX881" s="92">
        <f t="shared" si="2433"/>
        <v>1054</v>
      </c>
      <c r="AY881" s="92">
        <f t="shared" si="2433"/>
        <v>284</v>
      </c>
      <c r="AZ881" s="989">
        <f t="shared" si="2443" ref="AZ881">AZ809</f>
        <v>2539</v>
      </c>
      <c r="BA881" s="92">
        <f t="shared" si="2435"/>
        <v>199</v>
      </c>
      <c r="BB881" s="92">
        <f t="shared" si="2436"/>
        <v>833</v>
      </c>
      <c r="BC881" s="92">
        <f t="shared" si="2436"/>
        <v>1184</v>
      </c>
      <c r="BD881" s="92">
        <f t="shared" si="2437"/>
        <v>169</v>
      </c>
      <c r="BE881" s="989">
        <f t="shared" si="2438"/>
        <v>2385</v>
      </c>
      <c r="BF881" s="92">
        <f t="shared" si="2438"/>
        <v>267</v>
      </c>
      <c r="BG881" s="92">
        <f t="shared" si="2439"/>
        <v>995</v>
      </c>
      <c r="BH881" s="464">
        <f t="shared" si="2440"/>
        <v>1116</v>
      </c>
      <c r="BI881" s="92">
        <f>BI340</f>
        <v>-1232.1329999999991</v>
      </c>
      <c r="BJ881" s="989">
        <f t="shared" si="2441"/>
        <v>1145.8670000000009</v>
      </c>
      <c r="BK881" s="92">
        <f>BK340</f>
        <v>182.93799999999996</v>
      </c>
      <c r="BL881" s="92">
        <f>BL340</f>
        <v>206.2639999999997</v>
      </c>
      <c r="BM881" s="92">
        <f>BM340</f>
        <v>212.30300000000048</v>
      </c>
      <c r="BN881" s="92">
        <f>BN340</f>
        <v>-1311.4223299999983</v>
      </c>
      <c r="BO881" s="989">
        <f t="shared" si="2442"/>
        <v>-709.91732999999817</v>
      </c>
      <c r="BP881" s="989">
        <f>BP340</f>
        <v>617.16813889999844</v>
      </c>
      <c r="BQ881" s="989">
        <f>BQ340</f>
        <v>821.2983756769994</v>
      </c>
      <c r="BR881" s="989">
        <f>BR340</f>
        <v>845.63732694731186</v>
      </c>
      <c r="BS881" s="84"/>
    </row>
    <row r="882" spans="1:71" s="85" customFormat="1" ht="15">
      <c r="A882" s="82" t="str">
        <f t="shared" si="2374"/>
        <v>Deferred policy acquisition costs</v>
      </c>
      <c r="B882" s="166"/>
      <c r="C882" s="989">
        <f t="shared" si="2416"/>
        <v>514</v>
      </c>
      <c r="D882" s="989">
        <f t="shared" si="2416"/>
        <v>-94</v>
      </c>
      <c r="E882" s="989">
        <f t="shared" si="2416"/>
        <v>177</v>
      </c>
      <c r="F882" s="989">
        <f t="shared" si="2416"/>
        <v>-18</v>
      </c>
      <c r="G882" s="989">
        <f t="shared" si="2416"/>
        <v>-268</v>
      </c>
      <c r="H882" s="92">
        <f t="shared" si="2416"/>
        <v>3</v>
      </c>
      <c r="I882" s="92">
        <f t="shared" si="2417"/>
        <v>-80</v>
      </c>
      <c r="J882" s="92">
        <f t="shared" si="2417"/>
        <v>-112</v>
      </c>
      <c r="K882" s="92">
        <f t="shared" si="2417"/>
        <v>-31</v>
      </c>
      <c r="L882" s="989">
        <f t="shared" si="2418"/>
        <v>-220</v>
      </c>
      <c r="M882" s="92">
        <f t="shared" si="2418"/>
        <v>-35</v>
      </c>
      <c r="N882" s="92">
        <f t="shared" si="2419"/>
        <v>-97</v>
      </c>
      <c r="O882" s="92">
        <f t="shared" si="2419"/>
        <v>-87</v>
      </c>
      <c r="P882" s="92">
        <f t="shared" si="2419"/>
        <v>-20</v>
      </c>
      <c r="Q882" s="989">
        <f t="shared" si="2420"/>
        <v>-239</v>
      </c>
      <c r="R882" s="92">
        <f t="shared" si="2420"/>
        <v>-7</v>
      </c>
      <c r="S882" s="92">
        <f t="shared" si="2421"/>
        <v>-65</v>
      </c>
      <c r="T882" s="92">
        <f t="shared" si="2421"/>
        <v>-87</v>
      </c>
      <c r="U882" s="92">
        <f t="shared" si="2421"/>
        <v>-6</v>
      </c>
      <c r="V882" s="989">
        <f t="shared" si="2422"/>
        <v>-165</v>
      </c>
      <c r="W882" s="92">
        <f t="shared" si="2422"/>
        <v>14</v>
      </c>
      <c r="X882" s="92">
        <f t="shared" si="2423"/>
        <v>-79</v>
      </c>
      <c r="Y882" s="92">
        <f t="shared" si="2423"/>
        <v>-111</v>
      </c>
      <c r="Z882" s="92">
        <f t="shared" si="2423"/>
        <v>-38</v>
      </c>
      <c r="AA882" s="989">
        <f t="shared" si="2424"/>
        <v>-214</v>
      </c>
      <c r="AB882" s="92">
        <f t="shared" si="2424"/>
        <v>10</v>
      </c>
      <c r="AC882" s="92">
        <f t="shared" si="2425"/>
        <v>-90</v>
      </c>
      <c r="AD882" s="92">
        <f t="shared" si="2425"/>
        <v>-123</v>
      </c>
      <c r="AE882" s="92">
        <f t="shared" si="2425"/>
        <v>-93</v>
      </c>
      <c r="AF882" s="989">
        <f t="shared" si="2426"/>
        <v>-296</v>
      </c>
      <c r="AG882" s="92">
        <f t="shared" si="2426"/>
        <v>33</v>
      </c>
      <c r="AH882" s="92">
        <f t="shared" si="2427"/>
        <v>-60</v>
      </c>
      <c r="AI882" s="92">
        <f t="shared" si="2427"/>
        <v>-39</v>
      </c>
      <c r="AJ882" s="92">
        <f t="shared" si="2427"/>
        <v>-19</v>
      </c>
      <c r="AK882" s="989">
        <f t="shared" si="2428"/>
        <v>-85</v>
      </c>
      <c r="AL882" s="92">
        <f t="shared" si="2428"/>
        <v>38</v>
      </c>
      <c r="AM882" s="92">
        <f t="shared" si="2429"/>
        <v>-80</v>
      </c>
      <c r="AN882" s="92">
        <f t="shared" si="2429"/>
        <v>-13</v>
      </c>
      <c r="AO882" s="92">
        <f t="shared" si="2429"/>
        <v>-70</v>
      </c>
      <c r="AP882" s="989">
        <f t="shared" si="2430"/>
        <v>-125</v>
      </c>
      <c r="AQ882" s="92">
        <f t="shared" si="2430"/>
        <v>-26</v>
      </c>
      <c r="AR882" s="92">
        <f t="shared" si="2431"/>
        <v>-247</v>
      </c>
      <c r="AS882" s="92">
        <f t="shared" si="2431"/>
        <v>-219</v>
      </c>
      <c r="AT882" s="92">
        <f t="shared" si="2431"/>
        <v>-116</v>
      </c>
      <c r="AU882" s="989">
        <f t="shared" si="2432"/>
        <v>-608</v>
      </c>
      <c r="AV882" s="92">
        <f t="shared" si="2432"/>
        <v>-103</v>
      </c>
      <c r="AW882" s="92">
        <f t="shared" si="2433"/>
        <v>-212</v>
      </c>
      <c r="AX882" s="92">
        <f t="shared" si="2433"/>
        <v>-252</v>
      </c>
      <c r="AY882" s="92">
        <f t="shared" si="2433"/>
        <v>-146</v>
      </c>
      <c r="AZ882" s="989">
        <f t="shared" si="2444" ref="AZ882">AZ810</f>
        <v>-713</v>
      </c>
      <c r="BA882" s="92">
        <f t="shared" si="2435"/>
        <v>-29</v>
      </c>
      <c r="BB882" s="92">
        <f t="shared" si="2436"/>
        <v>-133</v>
      </c>
      <c r="BC882" s="92">
        <f t="shared" si="2436"/>
        <v>-223</v>
      </c>
      <c r="BD882" s="92">
        <f t="shared" si="2437"/>
        <v>-104</v>
      </c>
      <c r="BE882" s="989">
        <f t="shared" si="2438"/>
        <v>-489</v>
      </c>
      <c r="BF882" s="92">
        <f t="shared" si="2438"/>
        <v>-12</v>
      </c>
      <c r="BG882" s="92">
        <f t="shared" si="2439"/>
        <v>-163</v>
      </c>
      <c r="BH882" s="464">
        <f t="shared" si="2440"/>
        <v>-140</v>
      </c>
      <c r="BI882" s="92"/>
      <c r="BJ882" s="989">
        <f t="shared" si="2441"/>
        <v>-315</v>
      </c>
      <c r="BK882" s="92"/>
      <c r="BL882" s="92"/>
      <c r="BM882" s="92"/>
      <c r="BN882" s="92"/>
      <c r="BO882" s="989">
        <f t="shared" si="2442"/>
        <v>0</v>
      </c>
      <c r="BP882" s="989"/>
      <c r="BQ882" s="989"/>
      <c r="BR882" s="989"/>
      <c r="BS882" s="84"/>
    </row>
    <row r="883" spans="1:71" s="85" customFormat="1" ht="15">
      <c r="A883" s="82" t="str">
        <f t="shared" si="2374"/>
        <v>Premium installment receivables, net</v>
      </c>
      <c r="B883" s="166"/>
      <c r="C883" s="989">
        <f t="shared" si="2416"/>
        <v>26</v>
      </c>
      <c r="D883" s="989">
        <f t="shared" si="2416"/>
        <v>10</v>
      </c>
      <c r="E883" s="989">
        <f t="shared" si="2416"/>
        <v>33</v>
      </c>
      <c r="F883" s="989">
        <f t="shared" si="2416"/>
        <v>-125</v>
      </c>
      <c r="G883" s="989">
        <f t="shared" si="2416"/>
        <v>-205</v>
      </c>
      <c r="H883" s="92">
        <f t="shared" si="2416"/>
        <v>-46</v>
      </c>
      <c r="I883" s="92">
        <f t="shared" si="2417"/>
        <v>-106</v>
      </c>
      <c r="J883" s="92">
        <f t="shared" si="2417"/>
        <v>-234</v>
      </c>
      <c r="K883" s="92">
        <f t="shared" si="2417"/>
        <v>129</v>
      </c>
      <c r="L883" s="989">
        <f t="shared" si="2418"/>
        <v>-257</v>
      </c>
      <c r="M883" s="92">
        <f t="shared" si="2418"/>
        <v>-66</v>
      </c>
      <c r="N883" s="92">
        <f t="shared" si="2419"/>
        <v>-92</v>
      </c>
      <c r="O883" s="92">
        <f t="shared" si="2419"/>
        <v>-132</v>
      </c>
      <c r="P883" s="92">
        <f t="shared" si="2419"/>
        <v>156</v>
      </c>
      <c r="Q883" s="989">
        <f t="shared" si="2420"/>
        <v>-134</v>
      </c>
      <c r="R883" s="92">
        <f t="shared" si="2420"/>
        <v>11</v>
      </c>
      <c r="S883" s="92">
        <f t="shared" si="2421"/>
        <v>-38</v>
      </c>
      <c r="T883" s="92">
        <f t="shared" si="2421"/>
        <v>-209</v>
      </c>
      <c r="U883" s="92">
        <f t="shared" si="2421"/>
        <v>194</v>
      </c>
      <c r="V883" s="989">
        <f t="shared" si="2422"/>
        <v>-42</v>
      </c>
      <c r="W883" s="92">
        <f t="shared" si="2422"/>
        <v>-19</v>
      </c>
      <c r="X883" s="92">
        <f t="shared" si="2423"/>
        <v>-32</v>
      </c>
      <c r="Y883" s="92">
        <f t="shared" si="2423"/>
        <v>-216</v>
      </c>
      <c r="Z883" s="92">
        <f t="shared" si="2423"/>
        <v>136</v>
      </c>
      <c r="AA883" s="989">
        <f t="shared" si="2424"/>
        <v>-131</v>
      </c>
      <c r="AB883" s="92">
        <f t="shared" si="2424"/>
        <v>-58</v>
      </c>
      <c r="AC883" s="92">
        <f t="shared" si="2425"/>
        <v>-127</v>
      </c>
      <c r="AD883" s="92">
        <f t="shared" si="2425"/>
        <v>-237</v>
      </c>
      <c r="AE883" s="92">
        <f t="shared" si="2425"/>
        <v>26</v>
      </c>
      <c r="AF883" s="989">
        <f t="shared" si="2426"/>
        <v>-396</v>
      </c>
      <c r="AG883" s="92">
        <f t="shared" si="2426"/>
        <v>-39</v>
      </c>
      <c r="AH883" s="92">
        <f t="shared" si="2427"/>
        <v>-170</v>
      </c>
      <c r="AI883" s="92">
        <f t="shared" si="2427"/>
        <v>-183</v>
      </c>
      <c r="AJ883" s="92">
        <f t="shared" si="2427"/>
        <v>93</v>
      </c>
      <c r="AK883" s="989">
        <f t="shared" si="2428"/>
        <v>-299</v>
      </c>
      <c r="AL883" s="92">
        <f t="shared" si="2428"/>
        <v>26</v>
      </c>
      <c r="AM883" s="92">
        <f t="shared" si="2429"/>
        <v>55</v>
      </c>
      <c r="AN883" s="92">
        <f t="shared" si="2429"/>
        <v>-234</v>
      </c>
      <c r="AO883" s="92">
        <f t="shared" si="2429"/>
        <v>150</v>
      </c>
      <c r="AP883" s="989">
        <f t="shared" si="2430"/>
        <v>-3</v>
      </c>
      <c r="AQ883" s="92">
        <f t="shared" si="2430"/>
        <v>-124</v>
      </c>
      <c r="AR883" s="92">
        <f t="shared" si="2431"/>
        <v>-211</v>
      </c>
      <c r="AS883" s="92">
        <f t="shared" si="2431"/>
        <v>-271</v>
      </c>
      <c r="AT883" s="92">
        <f t="shared" si="2431"/>
        <v>108</v>
      </c>
      <c r="AU883" s="989">
        <f t="shared" si="2432"/>
        <v>-498</v>
      </c>
      <c r="AV883" s="92">
        <f t="shared" si="2432"/>
        <v>-502</v>
      </c>
      <c r="AW883" s="92">
        <f t="shared" si="2433"/>
        <v>-162</v>
      </c>
      <c r="AX883" s="92">
        <f t="shared" si="2433"/>
        <v>-358</v>
      </c>
      <c r="AY883" s="92">
        <f t="shared" si="2433"/>
        <v>-16</v>
      </c>
      <c r="AZ883" s="989">
        <f t="shared" si="2445" ref="AZ883">AZ811</f>
        <v>-1038</v>
      </c>
      <c r="BA883" s="92">
        <f t="shared" si="2435"/>
        <v>-317</v>
      </c>
      <c r="BB883" s="92">
        <f t="shared" si="2436"/>
        <v>-215</v>
      </c>
      <c r="BC883" s="92">
        <f t="shared" si="2436"/>
        <v>-402</v>
      </c>
      <c r="BD883" s="92">
        <f t="shared" si="2437"/>
        <v>73</v>
      </c>
      <c r="BE883" s="989">
        <f t="shared" si="2438"/>
        <v>-861</v>
      </c>
      <c r="BF883" s="92">
        <f t="shared" si="2438"/>
        <v>-549</v>
      </c>
      <c r="BG883" s="92">
        <f t="shared" si="2439"/>
        <v>-196</v>
      </c>
      <c r="BH883" s="464">
        <f t="shared" si="2440"/>
        <v>-349</v>
      </c>
      <c r="BI883" s="92"/>
      <c r="BJ883" s="989">
        <f t="shared" si="2441"/>
        <v>-1094</v>
      </c>
      <c r="BK883" s="92"/>
      <c r="BL883" s="92"/>
      <c r="BM883" s="92"/>
      <c r="BN883" s="92"/>
      <c r="BO883" s="989">
        <f t="shared" si="2442"/>
        <v>0</v>
      </c>
      <c r="BP883" s="989"/>
      <c r="BQ883" s="989"/>
      <c r="BR883" s="989"/>
      <c r="BS883" s="84"/>
    </row>
    <row r="884" spans="1:71" s="85" customFormat="1" ht="15">
      <c r="A884" s="82" t="str">
        <f t="shared" si="2374"/>
        <v>Reinsurance recoverables, net</v>
      </c>
      <c r="B884" s="166"/>
      <c r="C884" s="989">
        <f t="shared" si="2416"/>
        <v>-85</v>
      </c>
      <c r="D884" s="989">
        <f t="shared" si="2416"/>
        <v>-265</v>
      </c>
      <c r="E884" s="989">
        <f t="shared" si="2416"/>
        <v>-716</v>
      </c>
      <c r="F884" s="989">
        <f t="shared" si="2416"/>
        <v>-1560</v>
      </c>
      <c r="G884" s="989">
        <f t="shared" si="2416"/>
        <v>-729</v>
      </c>
      <c r="H884" s="92">
        <f t="shared" si="2416"/>
        <v>-45</v>
      </c>
      <c r="I884" s="92">
        <f t="shared" si="2417"/>
        <v>6</v>
      </c>
      <c r="J884" s="92">
        <f t="shared" si="2417"/>
        <v>-71</v>
      </c>
      <c r="K884" s="92">
        <f t="shared" si="2417"/>
        <v>-958</v>
      </c>
      <c r="L884" s="989">
        <f t="shared" si="2418"/>
        <v>-1068</v>
      </c>
      <c r="M884" s="92">
        <f t="shared" si="2418"/>
        <v>-24</v>
      </c>
      <c r="N884" s="92">
        <f t="shared" si="2419"/>
        <v>-120</v>
      </c>
      <c r="O884" s="92">
        <f t="shared" si="2419"/>
        <v>11</v>
      </c>
      <c r="P884" s="92">
        <f t="shared" si="2419"/>
        <v>-45</v>
      </c>
      <c r="Q884" s="989">
        <f t="shared" si="2420"/>
        <v>-178</v>
      </c>
      <c r="R884" s="92">
        <f t="shared" si="2420"/>
        <v>-40</v>
      </c>
      <c r="S884" s="92">
        <f t="shared" si="2421"/>
        <v>-80</v>
      </c>
      <c r="T884" s="92">
        <f t="shared" si="2421"/>
        <v>-300</v>
      </c>
      <c r="U884" s="92">
        <f t="shared" si="2421"/>
        <v>156</v>
      </c>
      <c r="V884" s="989">
        <f t="shared" si="2422"/>
        <v>-264</v>
      </c>
      <c r="W884" s="92">
        <f t="shared" si="2422"/>
        <v>11</v>
      </c>
      <c r="X884" s="92">
        <f t="shared" si="2423"/>
        <v>-5</v>
      </c>
      <c r="Y884" s="92">
        <f t="shared" si="2423"/>
        <v>-1023</v>
      </c>
      <c r="Z884" s="92">
        <f t="shared" si="2423"/>
        <v>806</v>
      </c>
      <c r="AA884" s="989">
        <f t="shared" si="2424"/>
        <v>-211</v>
      </c>
      <c r="AB884" s="92">
        <f t="shared" si="2424"/>
        <v>-12</v>
      </c>
      <c r="AC884" s="92">
        <f t="shared" si="2425"/>
        <v>3</v>
      </c>
      <c r="AD884" s="92">
        <f t="shared" si="2425"/>
        <v>-94</v>
      </c>
      <c r="AE884" s="92">
        <f t="shared" si="2425"/>
        <v>-553</v>
      </c>
      <c r="AF884" s="989">
        <f t="shared" si="2426"/>
        <v>-656</v>
      </c>
      <c r="AG884" s="92">
        <f t="shared" si="2426"/>
        <v>179</v>
      </c>
      <c r="AH884" s="92">
        <f t="shared" si="2427"/>
        <v>56</v>
      </c>
      <c r="AI884" s="92">
        <f t="shared" si="2427"/>
        <v>-68</v>
      </c>
      <c r="AJ884" s="92">
        <f t="shared" si="2427"/>
        <v>153</v>
      </c>
      <c r="AK884" s="989">
        <f t="shared" si="2428"/>
        <v>320</v>
      </c>
      <c r="AL884" s="92">
        <f t="shared" si="2428"/>
        <v>24</v>
      </c>
      <c r="AM884" s="92">
        <f t="shared" si="2429"/>
        <v>-80</v>
      </c>
      <c r="AN884" s="92">
        <f t="shared" si="2429"/>
        <v>177</v>
      </c>
      <c r="AO884" s="92">
        <f t="shared" si="2429"/>
        <v>-132</v>
      </c>
      <c r="AP884" s="989">
        <f t="shared" si="2430"/>
        <v>-11</v>
      </c>
      <c r="AQ884" s="92">
        <f t="shared" si="2430"/>
        <v>-1201</v>
      </c>
      <c r="AR884" s="92">
        <f t="shared" si="2431"/>
        <v>169</v>
      </c>
      <c r="AS884" s="92">
        <f t="shared" si="2431"/>
        <v>-941</v>
      </c>
      <c r="AT884" s="92">
        <f t="shared" si="2431"/>
        <v>408</v>
      </c>
      <c r="AU884" s="989">
        <f t="shared" si="2432"/>
        <v>-1565</v>
      </c>
      <c r="AV884" s="92">
        <f t="shared" si="2432"/>
        <v>333</v>
      </c>
      <c r="AW884" s="92">
        <f t="shared" si="2433"/>
        <v>312</v>
      </c>
      <c r="AX884" s="92">
        <f t="shared" si="2433"/>
        <v>-546</v>
      </c>
      <c r="AY884" s="92">
        <f t="shared" si="2433"/>
        <v>352</v>
      </c>
      <c r="AZ884" s="989">
        <f t="shared" si="2446" ref="AZ884">AZ812</f>
        <v>451</v>
      </c>
      <c r="BA884" s="92">
        <f t="shared" si="2435"/>
        <v>91</v>
      </c>
      <c r="BB884" s="92">
        <f t="shared" si="2436"/>
        <v>377</v>
      </c>
      <c r="BC884" s="92">
        <f t="shared" si="2436"/>
        <v>66</v>
      </c>
      <c r="BD884" s="92">
        <f t="shared" si="2437"/>
        <v>273</v>
      </c>
      <c r="BE884" s="989">
        <f t="shared" si="2438"/>
        <v>807</v>
      </c>
      <c r="BF884" s="92">
        <f t="shared" si="2438"/>
        <v>82</v>
      </c>
      <c r="BG884" s="92">
        <f t="shared" si="2439"/>
        <v>-6</v>
      </c>
      <c r="BH884" s="464">
        <f t="shared" si="2440"/>
        <v>-400</v>
      </c>
      <c r="BI884" s="92"/>
      <c r="BJ884" s="989">
        <f t="shared" si="2441"/>
        <v>-324</v>
      </c>
      <c r="BK884" s="92"/>
      <c r="BL884" s="92"/>
      <c r="BM884" s="92"/>
      <c r="BN884" s="92"/>
      <c r="BO884" s="989">
        <f t="shared" si="2442"/>
        <v>0</v>
      </c>
      <c r="BP884" s="989"/>
      <c r="BQ884" s="989"/>
      <c r="BR884" s="989"/>
      <c r="BS884" s="84"/>
    </row>
    <row r="885" spans="1:71" s="85" customFormat="1" ht="15">
      <c r="A885" s="82" t="str">
        <f t="shared" si="2374"/>
        <v>Income taxes</v>
      </c>
      <c r="B885" s="166"/>
      <c r="C885" s="989">
        <f t="shared" si="2416"/>
        <v>0</v>
      </c>
      <c r="D885" s="989">
        <f t="shared" si="2416"/>
        <v>200</v>
      </c>
      <c r="E885" s="989">
        <f t="shared" si="2416"/>
        <v>133</v>
      </c>
      <c r="F885" s="989">
        <f t="shared" si="2416"/>
        <v>698</v>
      </c>
      <c r="G885" s="989">
        <f t="shared" si="2416"/>
        <v>573</v>
      </c>
      <c r="H885" s="92">
        <f t="shared" si="2416"/>
        <v>-68</v>
      </c>
      <c r="I885" s="92">
        <f t="shared" si="2417"/>
        <v>-127</v>
      </c>
      <c r="J885" s="92">
        <f t="shared" si="2417"/>
        <v>370</v>
      </c>
      <c r="K885" s="92">
        <f t="shared" si="2417"/>
        <v>30</v>
      </c>
      <c r="L885" s="989">
        <f t="shared" si="2418"/>
        <v>205</v>
      </c>
      <c r="M885" s="92">
        <f t="shared" si="2418"/>
        <v>59</v>
      </c>
      <c r="N885" s="92">
        <f t="shared" si="2419"/>
        <v>-342</v>
      </c>
      <c r="O885" s="92">
        <f t="shared" si="2419"/>
        <v>223</v>
      </c>
      <c r="P885" s="92">
        <f t="shared" si="2419"/>
        <v>-59</v>
      </c>
      <c r="Q885" s="989">
        <f t="shared" si="2420"/>
        <v>-119</v>
      </c>
      <c r="R885" s="92">
        <f t="shared" si="2420"/>
        <v>-26</v>
      </c>
      <c r="S885" s="92">
        <f t="shared" si="2421"/>
        <v>-150</v>
      </c>
      <c r="T885" s="92">
        <f t="shared" si="2421"/>
        <v>206</v>
      </c>
      <c r="U885" s="92">
        <f t="shared" si="2421"/>
        <v>387</v>
      </c>
      <c r="V885" s="989">
        <f t="shared" si="2422"/>
        <v>417</v>
      </c>
      <c r="W885" s="92">
        <f t="shared" si="2422"/>
        <v>284</v>
      </c>
      <c r="X885" s="92">
        <f t="shared" si="2423"/>
        <v>-326</v>
      </c>
      <c r="Y885" s="92">
        <f t="shared" si="2423"/>
        <v>161</v>
      </c>
      <c r="Z885" s="92">
        <f t="shared" si="2423"/>
        <v>-364</v>
      </c>
      <c r="AA885" s="989">
        <f t="shared" si="2424"/>
        <v>-245</v>
      </c>
      <c r="AB885" s="92">
        <f t="shared" si="2424"/>
        <v>181</v>
      </c>
      <c r="AC885" s="92">
        <f t="shared" si="2425"/>
        <v>-438</v>
      </c>
      <c r="AD885" s="92">
        <f t="shared" si="2425"/>
        <v>30</v>
      </c>
      <c r="AE885" s="92">
        <f t="shared" si="2425"/>
        <v>-129</v>
      </c>
      <c r="AF885" s="989">
        <f t="shared" si="2426"/>
        <v>-356</v>
      </c>
      <c r="AG885" s="92">
        <f t="shared" si="2426"/>
        <v>303</v>
      </c>
      <c r="AH885" s="92">
        <f t="shared" si="2427"/>
        <v>-144</v>
      </c>
      <c r="AI885" s="92">
        <f t="shared" si="2427"/>
        <v>95</v>
      </c>
      <c r="AJ885" s="92">
        <f t="shared" si="2427"/>
        <v>233</v>
      </c>
      <c r="AK885" s="989">
        <f t="shared" si="2428"/>
        <v>487</v>
      </c>
      <c r="AL885" s="92">
        <f t="shared" si="2428"/>
        <v>28</v>
      </c>
      <c r="AM885" s="92">
        <f t="shared" si="2429"/>
        <v>229</v>
      </c>
      <c r="AN885" s="92">
        <f t="shared" si="2429"/>
        <v>-874</v>
      </c>
      <c r="AO885" s="92">
        <f t="shared" si="2429"/>
        <v>385</v>
      </c>
      <c r="AP885" s="989">
        <f t="shared" si="2430"/>
        <v>-232</v>
      </c>
      <c r="AQ885" s="92">
        <f t="shared" si="2430"/>
        <v>181</v>
      </c>
      <c r="AR885" s="92">
        <f t="shared" si="2431"/>
        <v>-16</v>
      </c>
      <c r="AS885" s="92">
        <f t="shared" si="2431"/>
        <v>-134</v>
      </c>
      <c r="AT885" s="92">
        <f t="shared" si="2431"/>
        <v>318</v>
      </c>
      <c r="AU885" s="989">
        <f t="shared" si="2432"/>
        <v>349</v>
      </c>
      <c r="AV885" s="92">
        <f t="shared" si="2432"/>
        <v>93</v>
      </c>
      <c r="AW885" s="92">
        <f t="shared" si="2433"/>
        <v>-381</v>
      </c>
      <c r="AX885" s="92">
        <f t="shared" si="2433"/>
        <v>-267</v>
      </c>
      <c r="AY885" s="92">
        <f t="shared" si="2433"/>
        <v>-160</v>
      </c>
      <c r="AZ885" s="989">
        <f t="shared" si="2447" ref="AZ885">AZ813</f>
        <v>-715</v>
      </c>
      <c r="BA885" s="92">
        <f t="shared" si="2435"/>
        <v>-125</v>
      </c>
      <c r="BB885" s="92">
        <f t="shared" si="2436"/>
        <v>-413</v>
      </c>
      <c r="BC885" s="92">
        <f t="shared" si="2436"/>
        <v>6</v>
      </c>
      <c r="BD885" s="92">
        <f t="shared" si="2437"/>
        <v>303</v>
      </c>
      <c r="BE885" s="989">
        <f t="shared" si="2438"/>
        <v>-229</v>
      </c>
      <c r="BF885" s="92">
        <f t="shared" si="2438"/>
        <v>217</v>
      </c>
      <c r="BG885" s="92">
        <f t="shared" si="2439"/>
        <v>-126</v>
      </c>
      <c r="BH885" s="464">
        <f t="shared" si="2440"/>
        <v>255</v>
      </c>
      <c r="BI885" s="92"/>
      <c r="BJ885" s="989">
        <f t="shared" si="2441"/>
        <v>346</v>
      </c>
      <c r="BK885" s="92"/>
      <c r="BL885" s="92"/>
      <c r="BM885" s="92"/>
      <c r="BN885" s="92"/>
      <c r="BO885" s="989">
        <f t="shared" si="2442"/>
        <v>0</v>
      </c>
      <c r="BP885" s="989"/>
      <c r="BQ885" s="989"/>
      <c r="BR885" s="989"/>
      <c r="BS885" s="84"/>
    </row>
    <row r="886" spans="1:71" s="85" customFormat="1" ht="15">
      <c r="A886" s="82" t="str">
        <f t="shared" si="2374"/>
        <v>Other operating assets and liabilities</v>
      </c>
      <c r="B886" s="166"/>
      <c r="C886" s="989">
        <f t="shared" si="2416"/>
        <v>-455</v>
      </c>
      <c r="D886" s="989">
        <f t="shared" si="2416"/>
        <v>-5</v>
      </c>
      <c r="E886" s="989">
        <f t="shared" si="2416"/>
        <v>154</v>
      </c>
      <c r="F886" s="989">
        <f t="shared" si="2416"/>
        <v>-126</v>
      </c>
      <c r="G886" s="989">
        <f t="shared" si="2416"/>
        <v>-187</v>
      </c>
      <c r="H886" s="92">
        <f t="shared" si="2416"/>
        <v>-270</v>
      </c>
      <c r="I886" s="92">
        <f t="shared" si="2417"/>
        <v>-166</v>
      </c>
      <c r="J886" s="92">
        <f t="shared" si="2417"/>
        <v>129</v>
      </c>
      <c r="K886" s="92">
        <f t="shared" si="2417"/>
        <v>60</v>
      </c>
      <c r="L886" s="989">
        <f t="shared" si="2418"/>
        <v>-247</v>
      </c>
      <c r="M886" s="92">
        <f t="shared" si="2418"/>
        <v>-191</v>
      </c>
      <c r="N886" s="92">
        <f t="shared" si="2419"/>
        <v>93</v>
      </c>
      <c r="O886" s="92">
        <f t="shared" si="2419"/>
        <v>-29</v>
      </c>
      <c r="P886" s="92">
        <f t="shared" si="2419"/>
        <v>32</v>
      </c>
      <c r="Q886" s="989">
        <f t="shared" si="2420"/>
        <v>-95</v>
      </c>
      <c r="R886" s="92">
        <f t="shared" si="2420"/>
        <v>-152</v>
      </c>
      <c r="S886" s="92">
        <f t="shared" si="2421"/>
        <v>64</v>
      </c>
      <c r="T886" s="92">
        <f t="shared" si="2421"/>
        <v>129</v>
      </c>
      <c r="U886" s="92">
        <f t="shared" si="2421"/>
        <v>-57</v>
      </c>
      <c r="V886" s="989">
        <f t="shared" si="2422"/>
        <v>-16</v>
      </c>
      <c r="W886" s="92">
        <f t="shared" si="2422"/>
        <v>-219</v>
      </c>
      <c r="X886" s="92">
        <f t="shared" si="2423"/>
        <v>-174</v>
      </c>
      <c r="Y886" s="92">
        <f t="shared" si="2423"/>
        <v>660</v>
      </c>
      <c r="Z886" s="92">
        <f t="shared" si="2423"/>
        <v>61</v>
      </c>
      <c r="AA886" s="989">
        <f t="shared" si="2424"/>
        <v>328</v>
      </c>
      <c r="AB886" s="92">
        <f t="shared" si="2424"/>
        <v>-318</v>
      </c>
      <c r="AC886" s="92">
        <f t="shared" si="2425"/>
        <v>369</v>
      </c>
      <c r="AD886" s="92">
        <f t="shared" si="2425"/>
        <v>482</v>
      </c>
      <c r="AE886" s="92">
        <f t="shared" si="2425"/>
        <v>674</v>
      </c>
      <c r="AF886" s="989">
        <f t="shared" si="2426"/>
        <v>1207</v>
      </c>
      <c r="AG886" s="92">
        <f t="shared" si="2426"/>
        <v>-410</v>
      </c>
      <c r="AH886" s="92">
        <f t="shared" si="2427"/>
        <v>-95</v>
      </c>
      <c r="AI886" s="92">
        <f t="shared" si="2427"/>
        <v>324</v>
      </c>
      <c r="AJ886" s="92">
        <f t="shared" si="2427"/>
        <v>131</v>
      </c>
      <c r="AK886" s="989">
        <f t="shared" si="2428"/>
        <v>-50</v>
      </c>
      <c r="AL886" s="92">
        <f t="shared" si="2428"/>
        <v>222</v>
      </c>
      <c r="AM886" s="92">
        <f t="shared" si="2429"/>
        <v>269</v>
      </c>
      <c r="AN886" s="92">
        <f t="shared" si="2429"/>
        <v>179</v>
      </c>
      <c r="AO886" s="92">
        <f t="shared" si="2429"/>
        <v>-213</v>
      </c>
      <c r="AP886" s="989">
        <f t="shared" si="2430"/>
        <v>457</v>
      </c>
      <c r="AQ886" s="92">
        <f t="shared" si="2430"/>
        <v>-440</v>
      </c>
      <c r="AR886" s="92">
        <f t="shared" si="2431"/>
        <v>-319</v>
      </c>
      <c r="AS886" s="92">
        <f t="shared" si="2431"/>
        <v>-144</v>
      </c>
      <c r="AT886" s="92">
        <f t="shared" si="2431"/>
        <v>-465</v>
      </c>
      <c r="AU886" s="989">
        <f t="shared" si="2432"/>
        <v>-1368</v>
      </c>
      <c r="AV886" s="92">
        <f t="shared" si="2432"/>
        <v>-574</v>
      </c>
      <c r="AW886" s="92">
        <f t="shared" si="2433"/>
        <v>-214</v>
      </c>
      <c r="AX886" s="92">
        <f t="shared" si="2433"/>
        <v>407</v>
      </c>
      <c r="AY886" s="92">
        <f t="shared" si="2433"/>
        <v>-160</v>
      </c>
      <c r="AZ886" s="989">
        <f t="shared" si="2448" ref="AZ886">AZ814</f>
        <v>-541</v>
      </c>
      <c r="BA886" s="92">
        <f t="shared" si="2435"/>
        <v>-87</v>
      </c>
      <c r="BB886" s="92">
        <f t="shared" si="2436"/>
        <v>-39</v>
      </c>
      <c r="BC886" s="92">
        <f t="shared" si="2436"/>
        <v>44</v>
      </c>
      <c r="BD886" s="92">
        <f t="shared" si="2437"/>
        <v>-305</v>
      </c>
      <c r="BE886" s="989">
        <f t="shared" si="2438"/>
        <v>-387</v>
      </c>
      <c r="BF886" s="92">
        <f t="shared" si="2438"/>
        <v>-154</v>
      </c>
      <c r="BG886" s="92">
        <f t="shared" si="2439"/>
        <v>-145</v>
      </c>
      <c r="BH886" s="464">
        <f t="shared" si="2440"/>
        <v>461</v>
      </c>
      <c r="BI886" s="92"/>
      <c r="BJ886" s="989">
        <f t="shared" si="2441"/>
        <v>162</v>
      </c>
      <c r="BK886" s="92"/>
      <c r="BL886" s="92"/>
      <c r="BM886" s="92"/>
      <c r="BN886" s="92"/>
      <c r="BO886" s="989">
        <f t="shared" si="2442"/>
        <v>0</v>
      </c>
      <c r="BP886" s="989"/>
      <c r="BQ886" s="989"/>
      <c r="BR886" s="989"/>
      <c r="BS886" s="84"/>
    </row>
    <row r="887" spans="1:71" s="85" customFormat="1" ht="15">
      <c r="A887" s="82" t="str">
        <f t="shared" si="2374"/>
        <v>Loss reserves</v>
      </c>
      <c r="B887" s="166"/>
      <c r="C887" s="989">
        <f t="shared" si="2416"/>
        <v>0</v>
      </c>
      <c r="D887" s="989">
        <f t="shared" si="2416"/>
        <v>0</v>
      </c>
      <c r="E887" s="989">
        <f t="shared" si="2416"/>
        <v>0</v>
      </c>
      <c r="F887" s="989">
        <f t="shared" si="2416"/>
        <v>0</v>
      </c>
      <c r="G887" s="989">
        <f t="shared" si="2416"/>
        <v>0</v>
      </c>
      <c r="H887" s="92">
        <f t="shared" si="2416"/>
        <v>0</v>
      </c>
      <c r="I887" s="92">
        <f t="shared" si="2417"/>
        <v>0</v>
      </c>
      <c r="J887" s="92">
        <f t="shared" si="2417"/>
        <v>0</v>
      </c>
      <c r="K887" s="92">
        <f t="shared" si="2417"/>
        <v>0</v>
      </c>
      <c r="L887" s="989">
        <f t="shared" si="2418"/>
        <v>0</v>
      </c>
      <c r="M887" s="92">
        <f t="shared" si="2418"/>
        <v>0</v>
      </c>
      <c r="N887" s="92">
        <f t="shared" si="2419"/>
        <v>0</v>
      </c>
      <c r="O887" s="92">
        <f t="shared" si="2419"/>
        <v>0</v>
      </c>
      <c r="P887" s="92">
        <f t="shared" si="2419"/>
        <v>0</v>
      </c>
      <c r="Q887" s="989">
        <f t="shared" si="2420"/>
        <v>0</v>
      </c>
      <c r="R887" s="92">
        <f t="shared" si="2420"/>
        <v>0</v>
      </c>
      <c r="S887" s="92">
        <f t="shared" si="2421"/>
        <v>0</v>
      </c>
      <c r="T887" s="92">
        <f t="shared" si="2421"/>
        <v>0</v>
      </c>
      <c r="U887" s="92">
        <f t="shared" si="2421"/>
        <v>0</v>
      </c>
      <c r="V887" s="989">
        <f t="shared" si="2422"/>
        <v>0</v>
      </c>
      <c r="W887" s="92">
        <f t="shared" si="2422"/>
        <v>0</v>
      </c>
      <c r="X887" s="92">
        <f t="shared" si="2423"/>
        <v>0</v>
      </c>
      <c r="Y887" s="92">
        <f t="shared" si="2423"/>
        <v>0</v>
      </c>
      <c r="Z887" s="92">
        <f t="shared" si="2423"/>
        <v>0</v>
      </c>
      <c r="AA887" s="989">
        <f t="shared" si="2424"/>
        <v>0</v>
      </c>
      <c r="AB887" s="92">
        <f t="shared" si="2424"/>
        <v>0</v>
      </c>
      <c r="AC887" s="92">
        <f t="shared" si="2425"/>
        <v>0</v>
      </c>
      <c r="AD887" s="92">
        <f t="shared" si="2425"/>
        <v>0</v>
      </c>
      <c r="AE887" s="92">
        <f t="shared" si="2425"/>
        <v>0</v>
      </c>
      <c r="AF887" s="989">
        <f t="shared" si="2426"/>
        <v>0</v>
      </c>
      <c r="AG887" s="92">
        <f t="shared" si="2426"/>
        <v>0</v>
      </c>
      <c r="AH887" s="92">
        <f t="shared" si="2427"/>
        <v>0</v>
      </c>
      <c r="AI887" s="92">
        <f t="shared" si="2427"/>
        <v>0</v>
      </c>
      <c r="AJ887" s="92">
        <f t="shared" si="2427"/>
        <v>0</v>
      </c>
      <c r="AK887" s="989">
        <f t="shared" si="2428"/>
        <v>0</v>
      </c>
      <c r="AL887" s="92">
        <f t="shared" si="2428"/>
        <v>0</v>
      </c>
      <c r="AM887" s="92">
        <f t="shared" si="2429"/>
        <v>0</v>
      </c>
      <c r="AN887" s="92">
        <f t="shared" si="2429"/>
        <v>0</v>
      </c>
      <c r="AO887" s="92">
        <f t="shared" si="2429"/>
        <v>0</v>
      </c>
      <c r="AP887" s="989">
        <f t="shared" si="2430"/>
        <v>0</v>
      </c>
      <c r="AQ887" s="92">
        <f t="shared" si="2430"/>
        <v>0</v>
      </c>
      <c r="AR887" s="92">
        <f t="shared" si="2431"/>
        <v>0</v>
      </c>
      <c r="AS887" s="92">
        <f t="shared" si="2431"/>
        <v>0</v>
      </c>
      <c r="AT887" s="92">
        <f t="shared" si="2431"/>
        <v>0</v>
      </c>
      <c r="AU887" s="989">
        <f t="shared" si="2432"/>
        <v>0</v>
      </c>
      <c r="AV887" s="92">
        <f t="shared" si="2432"/>
        <v>0</v>
      </c>
      <c r="AW887" s="92">
        <f t="shared" si="2433"/>
        <v>0</v>
      </c>
      <c r="AX887" s="92">
        <f t="shared" si="2433"/>
        <v>0</v>
      </c>
      <c r="AY887" s="92">
        <f t="shared" si="2433"/>
        <v>0</v>
      </c>
      <c r="AZ887" s="989">
        <f t="shared" si="2449" ref="AZ887">AZ815</f>
        <v>0</v>
      </c>
      <c r="BA887" s="92">
        <f t="shared" si="2435"/>
        <v>0</v>
      </c>
      <c r="BB887" s="92">
        <f t="shared" si="2436"/>
        <v>0</v>
      </c>
      <c r="BC887" s="92">
        <f t="shared" si="2436"/>
        <v>0</v>
      </c>
      <c r="BD887" s="92">
        <f t="shared" si="2437"/>
        <v>0</v>
      </c>
      <c r="BE887" s="989">
        <f t="shared" si="2438"/>
        <v>0</v>
      </c>
      <c r="BF887" s="92">
        <f t="shared" si="2438"/>
        <v>0</v>
      </c>
      <c r="BG887" s="92">
        <f t="shared" si="2439"/>
        <v>0</v>
      </c>
      <c r="BH887" s="464">
        <f t="shared" si="2440"/>
        <v>0</v>
      </c>
      <c r="BI887" s="92">
        <f>BI349</f>
        <v>464.49316499999998</v>
      </c>
      <c r="BJ887" s="989">
        <f t="shared" si="2441"/>
        <v>464.49316499999998</v>
      </c>
      <c r="BK887" s="92">
        <f>BK349</f>
        <v>485.57127300000002</v>
      </c>
      <c r="BL887" s="92">
        <f>BL349</f>
        <v>566.68880200000001</v>
      </c>
      <c r="BM887" s="92">
        <f>BM349</f>
        <v>561.92494799999997</v>
      </c>
      <c r="BN887" s="92">
        <f>BN349</f>
        <v>491.784153</v>
      </c>
      <c r="BO887" s="989">
        <f t="shared" si="2442"/>
        <v>2105.9691760000001</v>
      </c>
      <c r="BP887" s="989">
        <f>BP349</f>
        <v>2077.997629</v>
      </c>
      <c r="BQ887" s="989">
        <f>BQ349</f>
        <v>2133.9106270000002</v>
      </c>
      <c r="BR887" s="989">
        <f>BR349</f>
        <v>2197.6118959999999</v>
      </c>
      <c r="BS887" s="84"/>
    </row>
    <row r="888" spans="1:71" s="85" customFormat="1" ht="15">
      <c r="A888" s="349" t="str">
        <f t="shared" si="2374"/>
        <v>Income taxes</v>
      </c>
      <c r="B888" s="395"/>
      <c r="C888" s="995">
        <f t="shared" si="2416"/>
        <v>1660</v>
      </c>
      <c r="D888" s="995">
        <f t="shared" si="2416"/>
        <v>0</v>
      </c>
      <c r="E888" s="995">
        <f t="shared" si="2416"/>
        <v>0</v>
      </c>
      <c r="F888" s="995">
        <f t="shared" si="2416"/>
        <v>0</v>
      </c>
      <c r="G888" s="995">
        <f t="shared" si="2416"/>
        <v>0</v>
      </c>
      <c r="H888" s="115">
        <f t="shared" si="2416"/>
        <v>0</v>
      </c>
      <c r="I888" s="115">
        <f t="shared" si="2417"/>
        <v>0</v>
      </c>
      <c r="J888" s="115">
        <f t="shared" si="2417"/>
        <v>0</v>
      </c>
      <c r="K888" s="115">
        <f t="shared" si="2417"/>
        <v>0</v>
      </c>
      <c r="L888" s="995">
        <f t="shared" si="2418"/>
        <v>0</v>
      </c>
      <c r="M888" s="115">
        <f t="shared" si="2418"/>
        <v>0</v>
      </c>
      <c r="N888" s="115">
        <f t="shared" si="2419"/>
        <v>0</v>
      </c>
      <c r="O888" s="115">
        <f t="shared" si="2419"/>
        <v>0</v>
      </c>
      <c r="P888" s="115">
        <f t="shared" si="2419"/>
        <v>0</v>
      </c>
      <c r="Q888" s="995">
        <f t="shared" si="2420"/>
        <v>0</v>
      </c>
      <c r="R888" s="115">
        <f t="shared" si="2420"/>
        <v>0</v>
      </c>
      <c r="S888" s="115">
        <f t="shared" si="2421"/>
        <v>0</v>
      </c>
      <c r="T888" s="115">
        <f t="shared" si="2421"/>
        <v>0</v>
      </c>
      <c r="U888" s="115">
        <f t="shared" si="2421"/>
        <v>0</v>
      </c>
      <c r="V888" s="995">
        <f t="shared" si="2422"/>
        <v>0</v>
      </c>
      <c r="W888" s="115">
        <f t="shared" si="2422"/>
        <v>0</v>
      </c>
      <c r="X888" s="115">
        <f t="shared" si="2423"/>
        <v>0</v>
      </c>
      <c r="Y888" s="115">
        <f t="shared" si="2423"/>
        <v>0</v>
      </c>
      <c r="Z888" s="115">
        <f t="shared" si="2423"/>
        <v>0</v>
      </c>
      <c r="AA888" s="995">
        <f t="shared" si="2424"/>
        <v>0</v>
      </c>
      <c r="AB888" s="115">
        <f t="shared" si="2424"/>
        <v>0</v>
      </c>
      <c r="AC888" s="115">
        <f t="shared" si="2425"/>
        <v>0</v>
      </c>
      <c r="AD888" s="115">
        <f t="shared" si="2425"/>
        <v>0</v>
      </c>
      <c r="AE888" s="115">
        <f t="shared" si="2425"/>
        <v>0</v>
      </c>
      <c r="AF888" s="995">
        <f t="shared" si="2426"/>
        <v>0</v>
      </c>
      <c r="AG888" s="115">
        <f t="shared" si="2426"/>
        <v>0</v>
      </c>
      <c r="AH888" s="115">
        <f t="shared" si="2427"/>
        <v>0</v>
      </c>
      <c r="AI888" s="115">
        <f t="shared" si="2427"/>
        <v>0</v>
      </c>
      <c r="AJ888" s="115">
        <f t="shared" si="2427"/>
        <v>0</v>
      </c>
      <c r="AK888" s="995">
        <f t="shared" si="2428"/>
        <v>0</v>
      </c>
      <c r="AL888" s="115">
        <f t="shared" si="2428"/>
        <v>0</v>
      </c>
      <c r="AM888" s="115">
        <f t="shared" si="2429"/>
        <v>0</v>
      </c>
      <c r="AN888" s="115">
        <f t="shared" si="2429"/>
        <v>0</v>
      </c>
      <c r="AO888" s="115">
        <f t="shared" si="2429"/>
        <v>0</v>
      </c>
      <c r="AP888" s="995">
        <f t="shared" si="2430"/>
        <v>0</v>
      </c>
      <c r="AQ888" s="115">
        <f t="shared" si="2430"/>
        <v>0</v>
      </c>
      <c r="AR888" s="115">
        <f t="shared" si="2431"/>
        <v>0</v>
      </c>
      <c r="AS888" s="115">
        <f t="shared" si="2431"/>
        <v>0</v>
      </c>
      <c r="AT888" s="115">
        <f t="shared" si="2431"/>
        <v>0</v>
      </c>
      <c r="AU888" s="995">
        <f t="shared" si="2432"/>
        <v>0</v>
      </c>
      <c r="AV888" s="115">
        <f t="shared" si="2432"/>
        <v>0</v>
      </c>
      <c r="AW888" s="115">
        <f t="shared" si="2433"/>
        <v>0</v>
      </c>
      <c r="AX888" s="115">
        <f t="shared" si="2433"/>
        <v>0</v>
      </c>
      <c r="AY888" s="115">
        <f t="shared" si="2433"/>
        <v>0</v>
      </c>
      <c r="AZ888" s="995">
        <f t="shared" si="2450" ref="AZ888">AZ816</f>
        <v>0</v>
      </c>
      <c r="BA888" s="115">
        <f t="shared" si="2435"/>
        <v>0</v>
      </c>
      <c r="BB888" s="115">
        <f t="shared" si="2436"/>
        <v>0</v>
      </c>
      <c r="BC888" s="115">
        <f t="shared" si="2436"/>
        <v>0</v>
      </c>
      <c r="BD888" s="115">
        <f t="shared" si="2437"/>
        <v>0</v>
      </c>
      <c r="BE888" s="995">
        <f t="shared" si="2438"/>
        <v>0</v>
      </c>
      <c r="BF888" s="115">
        <f t="shared" si="2438"/>
        <v>0</v>
      </c>
      <c r="BG888" s="115">
        <f t="shared" si="2439"/>
        <v>0</v>
      </c>
      <c r="BH888" s="641">
        <f t="shared" si="2440"/>
        <v>0</v>
      </c>
      <c r="BI888" s="115"/>
      <c r="BJ888" s="995">
        <f t="shared" si="2441"/>
        <v>0</v>
      </c>
      <c r="BK888" s="115"/>
      <c r="BL888" s="115"/>
      <c r="BM888" s="115"/>
      <c r="BN888" s="115"/>
      <c r="BO888" s="995">
        <f t="shared" si="2442"/>
        <v>0</v>
      </c>
      <c r="BP888" s="995"/>
      <c r="BQ888" s="995"/>
      <c r="BR888" s="995"/>
      <c r="BS888" s="84"/>
    </row>
    <row r="889" spans="1:71" s="131" customFormat="1" ht="15">
      <c r="A889" s="228" t="str">
        <f t="shared" si="2374"/>
        <v>Net CFO</v>
      </c>
      <c r="B889" s="506"/>
      <c r="C889" s="997">
        <f t="shared" si="2451" ref="C889:AK889">SUM(C879:C888)</f>
        <v>4301</v>
      </c>
      <c r="D889" s="997">
        <f t="shared" si="2451"/>
        <v>3689</v>
      </c>
      <c r="E889" s="997">
        <f t="shared" si="2451"/>
        <v>1929</v>
      </c>
      <c r="F889" s="997">
        <f t="shared" si="2451"/>
        <v>3054</v>
      </c>
      <c r="G889" s="997">
        <f t="shared" si="2451"/>
        <v>4242</v>
      </c>
      <c r="H889" s="90">
        <f t="shared" si="2451"/>
        <v>474</v>
      </c>
      <c r="I889" s="90">
        <f t="shared" si="2451"/>
        <v>727</v>
      </c>
      <c r="J889" s="90">
        <f t="shared" si="2451"/>
        <v>1364</v>
      </c>
      <c r="K889" s="90">
        <f t="shared" si="2451"/>
        <v>671</v>
      </c>
      <c r="L889" s="997">
        <f t="shared" si="2451"/>
        <v>3236</v>
      </c>
      <c r="M889" s="90">
        <f t="shared" si="2451"/>
        <v>566</v>
      </c>
      <c r="N889" s="90">
        <f t="shared" si="2451"/>
        <v>737</v>
      </c>
      <c r="O889" s="90">
        <f t="shared" si="2451"/>
        <v>1383</v>
      </c>
      <c r="P889" s="90">
        <f t="shared" si="2451"/>
        <v>930</v>
      </c>
      <c r="Q889" s="997">
        <f t="shared" si="2451"/>
        <v>3616</v>
      </c>
      <c r="R889" s="90">
        <f t="shared" si="2451"/>
        <v>714</v>
      </c>
      <c r="S889" s="90">
        <f t="shared" si="2451"/>
        <v>644</v>
      </c>
      <c r="T889" s="90">
        <f t="shared" si="2451"/>
        <v>1384</v>
      </c>
      <c r="U889" s="90">
        <f t="shared" si="2451"/>
        <v>1251</v>
      </c>
      <c r="V889" s="997">
        <f t="shared" si="2451"/>
        <v>3993</v>
      </c>
      <c r="W889" s="90">
        <f t="shared" si="2451"/>
        <v>857</v>
      </c>
      <c r="X889" s="90">
        <f t="shared" si="2451"/>
        <v>491</v>
      </c>
      <c r="Y889" s="90">
        <f t="shared" si="2451"/>
        <v>1866</v>
      </c>
      <c r="Z889" s="90">
        <f t="shared" si="2451"/>
        <v>1100</v>
      </c>
      <c r="AA889" s="997">
        <f t="shared" si="2451"/>
        <v>4314</v>
      </c>
      <c r="AB889" s="90">
        <f t="shared" si="2451"/>
        <v>626</v>
      </c>
      <c r="AC889" s="90">
        <f t="shared" si="2451"/>
        <v>1464</v>
      </c>
      <c r="AD889" s="90">
        <f t="shared" si="2451"/>
        <v>1728</v>
      </c>
      <c r="AE889" s="90">
        <f t="shared" si="2451"/>
        <v>1357</v>
      </c>
      <c r="AF889" s="997">
        <f t="shared" si="2451"/>
        <v>5175</v>
      </c>
      <c r="AG889" s="90">
        <f t="shared" si="2451"/>
        <v>714</v>
      </c>
      <c r="AH889" s="90">
        <f t="shared" si="2451"/>
        <v>1348</v>
      </c>
      <c r="AI889" s="90">
        <f t="shared" si="2451"/>
        <v>1833</v>
      </c>
      <c r="AJ889" s="90">
        <f t="shared" si="2451"/>
        <v>1234</v>
      </c>
      <c r="AK889" s="997">
        <f t="shared" si="2451"/>
        <v>5129</v>
      </c>
      <c r="AL889" s="90">
        <f>SUM(AL879:AL888)</f>
        <v>1027</v>
      </c>
      <c r="AM889" s="90">
        <f>SUM(AM879:AM888)</f>
        <v>1849</v>
      </c>
      <c r="AN889" s="90">
        <f>SUM(AN879:AN888)</f>
        <v>1296</v>
      </c>
      <c r="AO889" s="90">
        <f t="shared" si="2452" ref="AO889:AP889">SUM(AO879:AO888)</f>
        <v>1319</v>
      </c>
      <c r="AP889" s="997">
        <f t="shared" si="2452"/>
        <v>5491</v>
      </c>
      <c r="AQ889" s="90">
        <f>SUM(AQ879:AQ888)</f>
        <v>1388</v>
      </c>
      <c r="AR889" s="90">
        <f>SUM(AR879:AR888)</f>
        <v>1528</v>
      </c>
      <c r="AS889" s="90">
        <f>SUM(AS879:AS888)</f>
        <v>1329</v>
      </c>
      <c r="AT889" s="90">
        <f t="shared" si="2453" ref="AT889:AU889">SUM(AT879:AT888)</f>
        <v>871</v>
      </c>
      <c r="AU889" s="997">
        <f t="shared" si="2453"/>
        <v>5116</v>
      </c>
      <c r="AV889" s="90">
        <f t="shared" si="2454" ref="AV889:BJ889">SUM(AV879:AV888)</f>
        <v>432</v>
      </c>
      <c r="AW889" s="90">
        <f t="shared" si="2454"/>
        <v>1673</v>
      </c>
      <c r="AX889" s="90">
        <f t="shared" si="2454"/>
        <v>2046</v>
      </c>
      <c r="AY889" s="90">
        <f t="shared" si="2454"/>
        <v>970</v>
      </c>
      <c r="AZ889" s="997">
        <f t="shared" si="2454"/>
        <v>5121</v>
      </c>
      <c r="BA889" s="90">
        <f>SUM(BA879:BA888)</f>
        <v>601</v>
      </c>
      <c r="BB889" s="90">
        <f>SUM(BB879:BB888)</f>
        <v>1169</v>
      </c>
      <c r="BC889" s="90">
        <f>SUM(BC879:BC888)</f>
        <v>1233</v>
      </c>
      <c r="BD889" s="90">
        <f t="shared" si="2455" ref="BD889:BE889">SUM(BD879:BD888)</f>
        <v>1225</v>
      </c>
      <c r="BE889" s="997">
        <f t="shared" si="2455"/>
        <v>4228</v>
      </c>
      <c r="BF889" s="90">
        <f>SUM(BF879:BF888)</f>
        <v>1666</v>
      </c>
      <c r="BG889" s="90">
        <f>SUM(BG879:BG888)</f>
        <v>2359</v>
      </c>
      <c r="BH889" s="747">
        <f>SUM(BH879:BH888)</f>
        <v>3201</v>
      </c>
      <c r="BI889" s="90">
        <f>SUM(BI879:BI888)</f>
        <v>599.76330100409984</v>
      </c>
      <c r="BJ889" s="997">
        <f t="shared" si="2454"/>
        <v>7825.763301004099</v>
      </c>
      <c r="BK889" s="90">
        <f t="shared" si="2456" ref="BK889:BR889">SUM(BK879:BK888)</f>
        <v>2155.7136591260278</v>
      </c>
      <c r="BL889" s="90">
        <f t="shared" si="2456"/>
        <v>1670.2384861205469</v>
      </c>
      <c r="BM889" s="90">
        <f t="shared" si="2456"/>
        <v>2022.943091506851</v>
      </c>
      <c r="BN889" s="90">
        <f t="shared" si="2456"/>
        <v>888.76473710444225</v>
      </c>
      <c r="BO889" s="997">
        <f t="shared" si="2456"/>
        <v>6737.659973857868</v>
      </c>
      <c r="BP889" s="997">
        <f t="shared" si="2456"/>
        <v>8404.6003735623635</v>
      </c>
      <c r="BQ889" s="997">
        <f t="shared" si="2456"/>
        <v>8799.8404608823403</v>
      </c>
      <c r="BR889" s="997">
        <f t="shared" si="2456"/>
        <v>9043.7009879850957</v>
      </c>
      <c r="BS889" s="101"/>
    </row>
    <row r="890" spans="1:71" s="131" customFormat="1" ht="15">
      <c r="A890" s="480"/>
      <c r="B890" s="483"/>
      <c r="C890" s="1000"/>
      <c r="D890" s="1000"/>
      <c r="E890" s="1000"/>
      <c r="F890" s="1000"/>
      <c r="G890" s="1000"/>
      <c r="H890" s="128"/>
      <c r="I890" s="128"/>
      <c r="J890" s="128"/>
      <c r="K890" s="128"/>
      <c r="L890" s="1000"/>
      <c r="M890" s="128"/>
      <c r="N890" s="128"/>
      <c r="O890" s="128"/>
      <c r="P890" s="128"/>
      <c r="Q890" s="1000"/>
      <c r="R890" s="128"/>
      <c r="S890" s="128"/>
      <c r="T890" s="128"/>
      <c r="U890" s="128"/>
      <c r="V890" s="1000"/>
      <c r="W890" s="128"/>
      <c r="X890" s="128"/>
      <c r="Y890" s="128"/>
      <c r="Z890" s="128"/>
      <c r="AA890" s="1000"/>
      <c r="AB890" s="128"/>
      <c r="AC890" s="128"/>
      <c r="AD890" s="128"/>
      <c r="AE890" s="128"/>
      <c r="AF890" s="1000"/>
      <c r="AG890" s="128"/>
      <c r="AH890" s="128"/>
      <c r="AI890" s="128"/>
      <c r="AJ890" s="128"/>
      <c r="AK890" s="1000"/>
      <c r="AL890" s="128"/>
      <c r="AM890" s="128"/>
      <c r="AN890" s="128"/>
      <c r="AO890" s="128"/>
      <c r="AP890" s="1000"/>
      <c r="AQ890" s="128"/>
      <c r="AR890" s="128"/>
      <c r="AS890" s="128"/>
      <c r="AT890" s="128"/>
      <c r="AU890" s="1000"/>
      <c r="AV890" s="128"/>
      <c r="AW890" s="128"/>
      <c r="AX890" s="128"/>
      <c r="AY890" s="128"/>
      <c r="AZ890" s="1000"/>
      <c r="BA890" s="128"/>
      <c r="BB890" s="128"/>
      <c r="BC890" s="128"/>
      <c r="BD890" s="128"/>
      <c r="BE890" s="1000"/>
      <c r="BF890" s="128"/>
      <c r="BG890" s="128"/>
      <c r="BH890" s="465"/>
      <c r="BI890" s="128"/>
      <c r="BJ890" s="1000"/>
      <c r="BK890" s="128"/>
      <c r="BL890" s="128"/>
      <c r="BM890" s="128"/>
      <c r="BN890" s="128"/>
      <c r="BO890" s="1000"/>
      <c r="BP890" s="1000"/>
      <c r="BQ890" s="1000"/>
      <c r="BR890" s="1000"/>
      <c r="BS890" s="101"/>
    </row>
    <row r="891" spans="1:71" s="131" customFormat="1" ht="15">
      <c r="A891" s="132" t="str">
        <f t="shared" si="2457" ref="A891:A911">A819</f>
        <v>CFI</v>
      </c>
      <c r="B891" s="483"/>
      <c r="C891" s="1000"/>
      <c r="D891" s="1000"/>
      <c r="E891" s="1000"/>
      <c r="F891" s="1000"/>
      <c r="G891" s="1000"/>
      <c r="H891" s="128"/>
      <c r="I891" s="128"/>
      <c r="J891" s="128"/>
      <c r="K891" s="128"/>
      <c r="L891" s="1000"/>
      <c r="M891" s="128"/>
      <c r="N891" s="128"/>
      <c r="O891" s="128"/>
      <c r="P891" s="128"/>
      <c r="Q891" s="1000"/>
      <c r="R891" s="128"/>
      <c r="S891" s="128"/>
      <c r="T891" s="128"/>
      <c r="U891" s="128"/>
      <c r="V891" s="1000"/>
      <c r="W891" s="128"/>
      <c r="X891" s="128"/>
      <c r="Y891" s="128"/>
      <c r="Z891" s="128"/>
      <c r="AA891" s="1000"/>
      <c r="AB891" s="128"/>
      <c r="AC891" s="128"/>
      <c r="AD891" s="128"/>
      <c r="AE891" s="128"/>
      <c r="AF891" s="1000"/>
      <c r="AG891" s="128"/>
      <c r="AH891" s="128"/>
      <c r="AI891" s="128"/>
      <c r="AJ891" s="128"/>
      <c r="AK891" s="1000"/>
      <c r="AL891" s="128"/>
      <c r="AM891" s="128"/>
      <c r="AN891" s="128"/>
      <c r="AO891" s="128"/>
      <c r="AP891" s="1000"/>
      <c r="AQ891" s="128"/>
      <c r="AR891" s="128"/>
      <c r="AS891" s="128"/>
      <c r="AT891" s="128"/>
      <c r="AU891" s="1000"/>
      <c r="AV891" s="128"/>
      <c r="AW891" s="128"/>
      <c r="AX891" s="128"/>
      <c r="AY891" s="128"/>
      <c r="AZ891" s="1000"/>
      <c r="BA891" s="128"/>
      <c r="BB891" s="128"/>
      <c r="BC891" s="128"/>
      <c r="BD891" s="128"/>
      <c r="BE891" s="1000"/>
      <c r="BF891" s="128"/>
      <c r="BG891" s="128"/>
      <c r="BH891" s="465"/>
      <c r="BI891" s="128"/>
      <c r="BJ891" s="1000"/>
      <c r="BK891" s="128"/>
      <c r="BL891" s="128"/>
      <c r="BM891" s="128"/>
      <c r="BN891" s="128"/>
      <c r="BO891" s="1000"/>
      <c r="BP891" s="1000"/>
      <c r="BQ891" s="1000"/>
      <c r="BR891" s="1000"/>
      <c r="BS891" s="101"/>
    </row>
    <row r="892" spans="1:71" s="85" customFormat="1" ht="15">
      <c r="A892" s="111" t="str">
        <f t="shared" si="2457"/>
        <v>Sales of Fixed income securities</v>
      </c>
      <c r="B892" s="92"/>
      <c r="C892" s="989">
        <f t="shared" si="2458" ref="C892:H901">C820</f>
        <v>21359</v>
      </c>
      <c r="D892" s="989">
        <f t="shared" si="2458"/>
        <v>22881</v>
      </c>
      <c r="E892" s="989">
        <f t="shared" si="2458"/>
        <v>29436</v>
      </c>
      <c r="F892" s="989">
        <f t="shared" si="2458"/>
        <v>18872</v>
      </c>
      <c r="G892" s="989">
        <f t="shared" si="2458"/>
        <v>21243</v>
      </c>
      <c r="H892" s="92">
        <f t="shared" si="2458"/>
        <v>6483</v>
      </c>
      <c r="I892" s="92">
        <f t="shared" si="2459" ref="I892:K910">I820-H820</f>
        <v>7722</v>
      </c>
      <c r="J892" s="92">
        <f t="shared" si="2459"/>
        <v>13443</v>
      </c>
      <c r="K892" s="92">
        <f t="shared" si="2459"/>
        <v>6961</v>
      </c>
      <c r="L892" s="989">
        <f t="shared" si="2460" ref="L892:M910">L820</f>
        <v>34609</v>
      </c>
      <c r="M892" s="92">
        <f t="shared" si="2460"/>
        <v>9453</v>
      </c>
      <c r="N892" s="92">
        <f t="shared" si="2461" ref="N892:P910">N820-M820</f>
        <v>6559</v>
      </c>
      <c r="O892" s="92">
        <f t="shared" si="2461"/>
        <v>6784</v>
      </c>
      <c r="P892" s="92">
        <f t="shared" si="2461"/>
        <v>5897</v>
      </c>
      <c r="Q892" s="989">
        <f t="shared" si="2462" ref="Q892:R910">Q820</f>
        <v>28693</v>
      </c>
      <c r="R892" s="92">
        <f t="shared" si="2462"/>
        <v>6216</v>
      </c>
      <c r="S892" s="92">
        <f t="shared" si="2463" ref="S892:U910">S820-R820</f>
        <v>6373</v>
      </c>
      <c r="T892" s="92">
        <f t="shared" si="2463"/>
        <v>6543</v>
      </c>
      <c r="U892" s="92">
        <f t="shared" si="2463"/>
        <v>5929</v>
      </c>
      <c r="V892" s="989">
        <f t="shared" si="2464" ref="V892:W910">V820</f>
        <v>25061</v>
      </c>
      <c r="W892" s="92">
        <f t="shared" si="2464"/>
        <v>7083</v>
      </c>
      <c r="X892" s="92">
        <f t="shared" si="2465" ref="X892:Z910">X820-W820</f>
        <v>7438</v>
      </c>
      <c r="Y892" s="92">
        <f t="shared" si="2465"/>
        <v>4987</v>
      </c>
      <c r="Z892" s="92">
        <f t="shared" si="2465"/>
        <v>5833</v>
      </c>
      <c r="AA892" s="989">
        <f t="shared" si="2466" ref="AA892:AB910">AA820</f>
        <v>25341</v>
      </c>
      <c r="AB892" s="92">
        <f t="shared" si="2466"/>
        <v>10619</v>
      </c>
      <c r="AC892" s="92">
        <f t="shared" si="2467" ref="AC892:AE910">AC820-AB820</f>
        <v>8896</v>
      </c>
      <c r="AD892" s="92">
        <f t="shared" si="2467"/>
        <v>6708</v>
      </c>
      <c r="AE892" s="92">
        <f t="shared" si="2467"/>
        <v>6960</v>
      </c>
      <c r="AF892" s="989">
        <f t="shared" si="2468" ref="AF892:AG910">AF820</f>
        <v>33183</v>
      </c>
      <c r="AG892" s="92">
        <f t="shared" si="2468"/>
        <v>9034</v>
      </c>
      <c r="AH892" s="92">
        <f t="shared" si="2469" ref="AH892:AJ910">AH820-AG820</f>
        <v>8777</v>
      </c>
      <c r="AI892" s="92">
        <f t="shared" si="2469"/>
        <v>5264</v>
      </c>
      <c r="AJ892" s="92">
        <f t="shared" si="2469"/>
        <v>6774</v>
      </c>
      <c r="AK892" s="989">
        <f t="shared" si="2470" ref="AK892:AL910">AK820</f>
        <v>29849</v>
      </c>
      <c r="AL892" s="92">
        <f t="shared" si="2470"/>
        <v>12114</v>
      </c>
      <c r="AM892" s="92">
        <f t="shared" si="2471" ref="AM892:AO910">AM820-AL820</f>
        <v>7838</v>
      </c>
      <c r="AN892" s="92">
        <f t="shared" si="2471"/>
        <v>5615</v>
      </c>
      <c r="AO892" s="92">
        <f t="shared" si="2471"/>
        <v>6383</v>
      </c>
      <c r="AP892" s="989">
        <f t="shared" si="2472" ref="AP892:AQ910">AP820</f>
        <v>31950</v>
      </c>
      <c r="AQ892" s="92">
        <f t="shared" si="2472"/>
        <v>10290</v>
      </c>
      <c r="AR892" s="92">
        <f t="shared" si="2473" ref="AR892:AT910">AR820-AQ820</f>
        <v>6203</v>
      </c>
      <c r="AS892" s="92">
        <f t="shared" si="2473"/>
        <v>6117</v>
      </c>
      <c r="AT892" s="92">
        <f t="shared" si="2473"/>
        <v>9164</v>
      </c>
      <c r="AU892" s="989">
        <f t="shared" si="2474" ref="AU892:AV910">AU820</f>
        <v>31774</v>
      </c>
      <c r="AV892" s="92">
        <f t="shared" si="2474"/>
        <v>12400</v>
      </c>
      <c r="AW892" s="92">
        <f t="shared" si="2475" ref="AW892:AY910">AW820-AV820</f>
        <v>7528</v>
      </c>
      <c r="AX892" s="92">
        <f t="shared" si="2475"/>
        <v>5649</v>
      </c>
      <c r="AY892" s="92">
        <f t="shared" si="2475"/>
        <v>5917</v>
      </c>
      <c r="AZ892" s="989">
        <f t="shared" si="2476" ref="AZ892">AZ820</f>
        <v>31494</v>
      </c>
      <c r="BA892" s="92">
        <f t="shared" si="2477" ref="BA892:BA910">BA820</f>
        <v>7008</v>
      </c>
      <c r="BB892" s="92">
        <f t="shared" si="2478" ref="BB892:BC910">BB820-BA820</f>
        <v>5446</v>
      </c>
      <c r="BC892" s="92">
        <f t="shared" si="2478"/>
        <v>4989</v>
      </c>
      <c r="BD892" s="92">
        <f t="shared" si="2479" ref="BD892:BD910">BD820-BC820</f>
        <v>5530</v>
      </c>
      <c r="BE892" s="989">
        <f t="shared" si="2480" ref="BE892:BF907">BE820</f>
        <v>22973</v>
      </c>
      <c r="BF892" s="92">
        <f t="shared" si="2480"/>
        <v>6719</v>
      </c>
      <c r="BG892" s="92">
        <f t="shared" si="2481" ref="BG892:BG910">BG820-BF820</f>
        <v>8744</v>
      </c>
      <c r="BH892" s="464">
        <f t="shared" si="2482" ref="BH892:BH910">BH820-BG820</f>
        <v>11378</v>
      </c>
      <c r="BI892" s="92">
        <f>MAX(-BI360+BH360,0)</f>
        <v>9325.5599999999977</v>
      </c>
      <c r="BJ892" s="989">
        <f t="shared" si="2483" ref="BJ892:BJ910">SUM(BF892,BG892,BH892,BI892)</f>
        <v>36166.56</v>
      </c>
      <c r="BK892" s="92">
        <f>MAX(-BK360+BJ360,0)</f>
        <v>0</v>
      </c>
      <c r="BL892" s="92">
        <f>MAX(-BL360+BK360,0)</f>
        <v>974.39999999999418</v>
      </c>
      <c r="BM892" s="92">
        <f>MAX(-BM360+BL360,0)</f>
        <v>0</v>
      </c>
      <c r="BN892" s="92">
        <f>MAX(-BN360+BM360,0)</f>
        <v>9510.5611999999965</v>
      </c>
      <c r="BO892" s="989">
        <f t="shared" si="2484" ref="BO892:BO910">SUM(BK892,BL892,BM892,BN892)</f>
        <v>10484.961199999991</v>
      </c>
      <c r="BP892" s="989">
        <f>MAX(-BP360+BO360,0)</f>
        <v>0</v>
      </c>
      <c r="BQ892" s="989">
        <f>MAX(-BQ360+BP360,0)</f>
        <v>0</v>
      </c>
      <c r="BR892" s="989">
        <f>MAX(-BR360+BQ360,0)</f>
        <v>0</v>
      </c>
      <c r="BS892" s="84"/>
    </row>
    <row r="893" spans="1:71" s="85" customFormat="1" ht="15">
      <c r="A893" s="82" t="str">
        <f t="shared" si="2457"/>
        <v>Sales of Equity securities</v>
      </c>
      <c r="B893" s="92"/>
      <c r="C893" s="989">
        <f t="shared" si="2458"/>
        <v>6894</v>
      </c>
      <c r="D893" s="989">
        <f t="shared" si="2458"/>
        <v>4349</v>
      </c>
      <c r="E893" s="989">
        <f t="shared" si="2458"/>
        <v>2012</v>
      </c>
      <c r="F893" s="989">
        <f t="shared" si="2458"/>
        <v>1495</v>
      </c>
      <c r="G893" s="989">
        <f t="shared" si="2458"/>
        <v>3173</v>
      </c>
      <c r="H893" s="92">
        <f t="shared" si="2458"/>
        <v>1328</v>
      </c>
      <c r="I893" s="92">
        <f t="shared" si="2459"/>
        <v>1416</v>
      </c>
      <c r="J893" s="92">
        <f t="shared" si="2459"/>
        <v>2519</v>
      </c>
      <c r="K893" s="92">
        <f t="shared" si="2459"/>
        <v>1492</v>
      </c>
      <c r="L893" s="989">
        <f t="shared" si="2460"/>
        <v>6755</v>
      </c>
      <c r="M893" s="92">
        <f t="shared" si="2460"/>
        <v>1152</v>
      </c>
      <c r="N893" s="92">
        <f t="shared" si="2461"/>
        <v>922</v>
      </c>
      <c r="O893" s="92">
        <f t="shared" si="2461"/>
        <v>614</v>
      </c>
      <c r="P893" s="92">
        <f t="shared" si="2461"/>
        <v>1066</v>
      </c>
      <c r="Q893" s="989">
        <f t="shared" si="2462"/>
        <v>3754</v>
      </c>
      <c r="R893" s="92">
        <f t="shared" si="2462"/>
        <v>1664</v>
      </c>
      <c r="S893" s="92">
        <f t="shared" si="2463"/>
        <v>823</v>
      </c>
      <c r="T893" s="92">
        <f t="shared" si="2463"/>
        <v>1582</v>
      </c>
      <c r="U893" s="92">
        <f t="shared" si="2463"/>
        <v>1477</v>
      </c>
      <c r="V893" s="989">
        <f t="shared" si="2464"/>
        <v>5546</v>
      </c>
      <c r="W893" s="92">
        <f t="shared" si="2464"/>
        <v>2601</v>
      </c>
      <c r="X893" s="92">
        <f t="shared" si="2465"/>
        <v>829</v>
      </c>
      <c r="Y893" s="92">
        <f t="shared" si="2465"/>
        <v>1749</v>
      </c>
      <c r="Z893" s="92">
        <f t="shared" si="2465"/>
        <v>1325</v>
      </c>
      <c r="AA893" s="989">
        <f t="shared" si="2466"/>
        <v>6504</v>
      </c>
      <c r="AB893" s="92">
        <f t="shared" si="2466"/>
        <v>1138</v>
      </c>
      <c r="AC893" s="92">
        <f t="shared" si="2467"/>
        <v>2438</v>
      </c>
      <c r="AD893" s="92">
        <f t="shared" si="2467"/>
        <v>1061</v>
      </c>
      <c r="AE893" s="92">
        <f t="shared" si="2467"/>
        <v>2222</v>
      </c>
      <c r="AF893" s="989">
        <f t="shared" si="2468"/>
        <v>6859</v>
      </c>
      <c r="AG893" s="92">
        <f t="shared" si="2468"/>
        <v>633</v>
      </c>
      <c r="AH893" s="92">
        <f t="shared" si="2469"/>
        <v>1465</v>
      </c>
      <c r="AI893" s="92">
        <f t="shared" si="2469"/>
        <v>1637</v>
      </c>
      <c r="AJ893" s="92">
        <f t="shared" si="2469"/>
        <v>1542</v>
      </c>
      <c r="AK893" s="989">
        <f t="shared" si="2470"/>
        <v>5277</v>
      </c>
      <c r="AL893" s="92">
        <f t="shared" si="2470"/>
        <v>5250</v>
      </c>
      <c r="AM893" s="92">
        <f t="shared" si="2471"/>
        <v>1223</v>
      </c>
      <c r="AN893" s="92">
        <f t="shared" si="2471"/>
        <v>1071</v>
      </c>
      <c r="AO893" s="92">
        <f t="shared" si="2471"/>
        <v>861</v>
      </c>
      <c r="AP893" s="989">
        <f t="shared" si="2472"/>
        <v>8405</v>
      </c>
      <c r="AQ893" s="92">
        <f t="shared" si="2472"/>
        <v>992</v>
      </c>
      <c r="AR893" s="92">
        <f t="shared" si="2473"/>
        <v>875</v>
      </c>
      <c r="AS893" s="92">
        <f t="shared" si="2473"/>
        <v>1284</v>
      </c>
      <c r="AT893" s="92">
        <f t="shared" si="2473"/>
        <v>1362</v>
      </c>
      <c r="AU893" s="989">
        <f t="shared" si="2474"/>
        <v>4513</v>
      </c>
      <c r="AV893" s="92">
        <f t="shared" si="2474"/>
        <v>5216</v>
      </c>
      <c r="AW893" s="92">
        <f t="shared" si="2475"/>
        <v>2406</v>
      </c>
      <c r="AX893" s="92">
        <f t="shared" si="2475"/>
        <v>1145</v>
      </c>
      <c r="AY893" s="92">
        <f t="shared" si="2475"/>
        <v>2202</v>
      </c>
      <c r="AZ893" s="989">
        <f t="shared" si="2485" ref="AZ893">AZ821</f>
        <v>10969</v>
      </c>
      <c r="BA893" s="92">
        <f t="shared" si="2477"/>
        <v>3739</v>
      </c>
      <c r="BB893" s="92">
        <f t="shared" si="2478"/>
        <v>444</v>
      </c>
      <c r="BC893" s="92">
        <f t="shared" si="2478"/>
        <v>572</v>
      </c>
      <c r="BD893" s="92">
        <f t="shared" si="2479"/>
        <v>645</v>
      </c>
      <c r="BE893" s="989">
        <f t="shared" si="2480"/>
        <v>5400</v>
      </c>
      <c r="BF893" s="92">
        <f t="shared" si="2480"/>
        <v>500</v>
      </c>
      <c r="BG893" s="92">
        <f t="shared" si="2481"/>
        <v>1010</v>
      </c>
      <c r="BH893" s="464">
        <f t="shared" si="2482"/>
        <v>627</v>
      </c>
      <c r="BI893" s="92"/>
      <c r="BJ893" s="989">
        <f t="shared" si="2483"/>
        <v>2137</v>
      </c>
      <c r="BK893" s="92"/>
      <c r="BL893" s="92"/>
      <c r="BM893" s="92"/>
      <c r="BN893" s="92"/>
      <c r="BO893" s="989">
        <f t="shared" si="2484"/>
        <v>0</v>
      </c>
      <c r="BP893" s="989"/>
      <c r="BQ893" s="989"/>
      <c r="BR893" s="989"/>
      <c r="BS893" s="84"/>
    </row>
    <row r="894" spans="1:71" s="85" customFormat="1" ht="15">
      <c r="A894" s="82" t="str">
        <f t="shared" si="2457"/>
        <v>Sales of Limited partnership interests</v>
      </c>
      <c r="B894" s="92"/>
      <c r="C894" s="989">
        <f t="shared" si="2458"/>
        <v>369</v>
      </c>
      <c r="D894" s="989">
        <f t="shared" si="2458"/>
        <v>505</v>
      </c>
      <c r="E894" s="989">
        <f t="shared" si="2458"/>
        <v>1000</v>
      </c>
      <c r="F894" s="989">
        <f t="shared" si="2458"/>
        <v>1398</v>
      </c>
      <c r="G894" s="989">
        <f t="shared" si="2458"/>
        <v>1045</v>
      </c>
      <c r="H894" s="92">
        <f t="shared" si="2458"/>
        <v>238</v>
      </c>
      <c r="I894" s="92">
        <f t="shared" si="2459"/>
        <v>564</v>
      </c>
      <c r="J894" s="92">
        <f t="shared" si="2459"/>
        <v>282</v>
      </c>
      <c r="K894" s="92">
        <f t="shared" si="2459"/>
        <v>389</v>
      </c>
      <c r="L894" s="989">
        <f t="shared" si="2460"/>
        <v>1473</v>
      </c>
      <c r="M894" s="92">
        <f t="shared" si="2460"/>
        <v>296</v>
      </c>
      <c r="N894" s="92">
        <f t="shared" si="2461"/>
        <v>295</v>
      </c>
      <c r="O894" s="92">
        <f t="shared" si="2461"/>
        <v>204</v>
      </c>
      <c r="P894" s="92">
        <f t="shared" si="2461"/>
        <v>306</v>
      </c>
      <c r="Q894" s="989">
        <f t="shared" si="2462"/>
        <v>1101</v>
      </c>
      <c r="R894" s="92">
        <f t="shared" si="2462"/>
        <v>180</v>
      </c>
      <c r="S894" s="92">
        <f t="shared" si="2463"/>
        <v>183</v>
      </c>
      <c r="T894" s="92">
        <f t="shared" si="2463"/>
        <v>271</v>
      </c>
      <c r="U894" s="92">
        <f t="shared" si="2463"/>
        <v>247</v>
      </c>
      <c r="V894" s="989">
        <f t="shared" si="2464"/>
        <v>881</v>
      </c>
      <c r="W894" s="92">
        <f t="shared" si="2464"/>
        <v>210</v>
      </c>
      <c r="X894" s="92">
        <f t="shared" si="2465"/>
        <v>271</v>
      </c>
      <c r="Y894" s="92">
        <f t="shared" si="2465"/>
        <v>286</v>
      </c>
      <c r="Z894" s="92">
        <f t="shared" si="2465"/>
        <v>358</v>
      </c>
      <c r="AA894" s="989">
        <f t="shared" si="2466"/>
        <v>1125</v>
      </c>
      <c r="AB894" s="92">
        <f t="shared" si="2466"/>
        <v>53</v>
      </c>
      <c r="AC894" s="92">
        <f t="shared" si="2467"/>
        <v>129</v>
      </c>
      <c r="AD894" s="92">
        <f t="shared" si="2467"/>
        <v>308</v>
      </c>
      <c r="AE894" s="92">
        <f t="shared" si="2467"/>
        <v>274</v>
      </c>
      <c r="AF894" s="989">
        <f t="shared" si="2468"/>
        <v>764</v>
      </c>
      <c r="AG894" s="92">
        <f t="shared" si="2468"/>
        <v>241</v>
      </c>
      <c r="AH894" s="92">
        <f t="shared" si="2469"/>
        <v>150</v>
      </c>
      <c r="AI894" s="92">
        <f t="shared" si="2469"/>
        <v>166</v>
      </c>
      <c r="AJ894" s="92">
        <f t="shared" si="2469"/>
        <v>199</v>
      </c>
      <c r="AK894" s="989">
        <f t="shared" si="2470"/>
        <v>756</v>
      </c>
      <c r="AL894" s="92">
        <f t="shared" si="2470"/>
        <v>749</v>
      </c>
      <c r="AM894" s="92">
        <f t="shared" si="2471"/>
        <v>113</v>
      </c>
      <c r="AN894" s="92">
        <f t="shared" si="2471"/>
        <v>129</v>
      </c>
      <c r="AO894" s="92">
        <f t="shared" si="2471"/>
        <v>359</v>
      </c>
      <c r="AP894" s="989">
        <f t="shared" si="2472"/>
        <v>1350</v>
      </c>
      <c r="AQ894" s="92">
        <f t="shared" si="2472"/>
        <v>152</v>
      </c>
      <c r="AR894" s="92">
        <f t="shared" si="2473"/>
        <v>200</v>
      </c>
      <c r="AS894" s="92">
        <f t="shared" si="2473"/>
        <v>222</v>
      </c>
      <c r="AT894" s="92">
        <f t="shared" si="2473"/>
        <v>312</v>
      </c>
      <c r="AU894" s="989">
        <f t="shared" si="2474"/>
        <v>886</v>
      </c>
      <c r="AV894" s="92">
        <f t="shared" si="2474"/>
        <v>300</v>
      </c>
      <c r="AW894" s="92">
        <f t="shared" si="2475"/>
        <v>333</v>
      </c>
      <c r="AX894" s="92">
        <f t="shared" si="2475"/>
        <v>153</v>
      </c>
      <c r="AY894" s="92">
        <f t="shared" si="2475"/>
        <v>184</v>
      </c>
      <c r="AZ894" s="989">
        <f t="shared" si="2486" ref="AZ894">AZ822</f>
        <v>970</v>
      </c>
      <c r="BA894" s="92">
        <f t="shared" si="2477"/>
        <v>414</v>
      </c>
      <c r="BB894" s="92">
        <f t="shared" si="2478"/>
        <v>102</v>
      </c>
      <c r="BC894" s="92">
        <f t="shared" si="2478"/>
        <v>74</v>
      </c>
      <c r="BD894" s="92">
        <f t="shared" si="2479"/>
        <v>120</v>
      </c>
      <c r="BE894" s="989">
        <f t="shared" si="2480"/>
        <v>710</v>
      </c>
      <c r="BF894" s="92">
        <f t="shared" si="2480"/>
        <v>130</v>
      </c>
      <c r="BG894" s="92">
        <f t="shared" si="2481"/>
        <v>118</v>
      </c>
      <c r="BH894" s="464">
        <f t="shared" si="2482"/>
        <v>161</v>
      </c>
      <c r="BI894" s="92"/>
      <c r="BJ894" s="989">
        <f t="shared" si="2483"/>
        <v>409</v>
      </c>
      <c r="BK894" s="92"/>
      <c r="BL894" s="92"/>
      <c r="BM894" s="92"/>
      <c r="BN894" s="92"/>
      <c r="BO894" s="989">
        <f t="shared" si="2484"/>
        <v>0</v>
      </c>
      <c r="BP894" s="989"/>
      <c r="BQ894" s="989"/>
      <c r="BR894" s="989"/>
      <c r="BS894" s="84"/>
    </row>
    <row r="895" spans="1:71" s="85" customFormat="1" ht="15">
      <c r="A895" s="82" t="str">
        <f t="shared" si="2457"/>
        <v>Collections of Mortgage loans</v>
      </c>
      <c r="B895" s="92"/>
      <c r="C895" s="989">
        <f t="shared" si="2458"/>
        <v>340</v>
      </c>
      <c r="D895" s="989">
        <f t="shared" si="2458"/>
        <v>124</v>
      </c>
      <c r="E895" s="989">
        <f t="shared" si="2458"/>
        <v>97</v>
      </c>
      <c r="F895" s="989">
        <f t="shared" si="2458"/>
        <v>14</v>
      </c>
      <c r="G895" s="989">
        <f t="shared" si="2458"/>
        <v>24</v>
      </c>
      <c r="H895" s="92">
        <f t="shared" si="2458"/>
        <v>10</v>
      </c>
      <c r="I895" s="92">
        <f t="shared" si="2459"/>
        <v>0</v>
      </c>
      <c r="J895" s="92">
        <f t="shared" si="2459"/>
        <v>0</v>
      </c>
      <c r="K895" s="92">
        <f t="shared" si="2459"/>
        <v>0</v>
      </c>
      <c r="L895" s="989">
        <f t="shared" si="2460"/>
        <v>10</v>
      </c>
      <c r="M895" s="92">
        <f t="shared" si="2460"/>
        <v>0</v>
      </c>
      <c r="N895" s="92">
        <f t="shared" si="2461"/>
        <v>0</v>
      </c>
      <c r="O895" s="92">
        <f t="shared" si="2461"/>
        <v>6</v>
      </c>
      <c r="P895" s="92">
        <f t="shared" si="2461"/>
        <v>0</v>
      </c>
      <c r="Q895" s="989">
        <f t="shared" si="2462"/>
        <v>6</v>
      </c>
      <c r="R895" s="92">
        <f t="shared" si="2462"/>
        <v>0</v>
      </c>
      <c r="S895" s="92">
        <f t="shared" si="2463"/>
        <v>0</v>
      </c>
      <c r="T895" s="92">
        <f t="shared" si="2463"/>
        <v>0</v>
      </c>
      <c r="U895" s="92">
        <f t="shared" si="2463"/>
        <v>0</v>
      </c>
      <c r="V895" s="989">
        <f t="shared" si="2464"/>
        <v>0</v>
      </c>
      <c r="W895" s="92">
        <f t="shared" si="2464"/>
        <v>0</v>
      </c>
      <c r="X895" s="92">
        <f t="shared" si="2465"/>
        <v>0</v>
      </c>
      <c r="Y895" s="92">
        <f t="shared" si="2465"/>
        <v>0</v>
      </c>
      <c r="Z895" s="92">
        <f t="shared" si="2465"/>
        <v>0</v>
      </c>
      <c r="AA895" s="989">
        <f t="shared" si="2466"/>
        <v>0</v>
      </c>
      <c r="AB895" s="92">
        <f t="shared" si="2466"/>
        <v>0</v>
      </c>
      <c r="AC895" s="92">
        <f t="shared" si="2467"/>
        <v>0</v>
      </c>
      <c r="AD895" s="92">
        <f t="shared" si="2467"/>
        <v>0</v>
      </c>
      <c r="AE895" s="92">
        <f t="shared" si="2467"/>
        <v>0</v>
      </c>
      <c r="AF895" s="989">
        <f t="shared" si="2468"/>
        <v>0</v>
      </c>
      <c r="AG895" s="92">
        <f t="shared" si="2468"/>
        <v>0</v>
      </c>
      <c r="AH895" s="92">
        <f t="shared" si="2469"/>
        <v>0</v>
      </c>
      <c r="AI895" s="92">
        <f t="shared" si="2469"/>
        <v>0</v>
      </c>
      <c r="AJ895" s="92">
        <f t="shared" si="2469"/>
        <v>0</v>
      </c>
      <c r="AK895" s="989">
        <f t="shared" si="2470"/>
        <v>0</v>
      </c>
      <c r="AL895" s="92">
        <f t="shared" si="2470"/>
        <v>0</v>
      </c>
      <c r="AM895" s="92">
        <f t="shared" si="2471"/>
        <v>0</v>
      </c>
      <c r="AN895" s="92">
        <f t="shared" si="2471"/>
        <v>0</v>
      </c>
      <c r="AO895" s="92">
        <f t="shared" si="2471"/>
        <v>230</v>
      </c>
      <c r="AP895" s="989">
        <f t="shared" si="2472"/>
        <v>230</v>
      </c>
      <c r="AQ895" s="92">
        <f t="shared" si="2472"/>
        <v>0</v>
      </c>
      <c r="AR895" s="92">
        <f t="shared" si="2473"/>
        <v>0</v>
      </c>
      <c r="AS895" s="92">
        <f t="shared" si="2473"/>
        <v>0</v>
      </c>
      <c r="AT895" s="92">
        <f t="shared" si="2473"/>
        <v>0</v>
      </c>
      <c r="AU895" s="989">
        <f t="shared" si="2474"/>
        <v>0</v>
      </c>
      <c r="AV895" s="92">
        <f t="shared" si="2474"/>
        <v>0</v>
      </c>
      <c r="AW895" s="92">
        <f t="shared" si="2475"/>
        <v>0</v>
      </c>
      <c r="AX895" s="92">
        <f t="shared" si="2475"/>
        <v>0</v>
      </c>
      <c r="AY895" s="92">
        <f t="shared" si="2475"/>
        <v>0</v>
      </c>
      <c r="AZ895" s="989">
        <f t="shared" si="2487" ref="AZ895">AZ823</f>
        <v>0</v>
      </c>
      <c r="BA895" s="92">
        <f t="shared" si="2477"/>
        <v>0</v>
      </c>
      <c r="BB895" s="92">
        <f t="shared" si="2478"/>
        <v>0</v>
      </c>
      <c r="BC895" s="92">
        <f t="shared" si="2478"/>
        <v>0</v>
      </c>
      <c r="BD895" s="92">
        <f t="shared" si="2479"/>
        <v>0</v>
      </c>
      <c r="BE895" s="989">
        <f t="shared" si="2480"/>
        <v>0</v>
      </c>
      <c r="BF895" s="92">
        <f t="shared" si="2480"/>
        <v>0</v>
      </c>
      <c r="BG895" s="92">
        <f t="shared" si="2481"/>
        <v>0</v>
      </c>
      <c r="BH895" s="464">
        <f t="shared" si="2482"/>
        <v>0</v>
      </c>
      <c r="BI895" s="92"/>
      <c r="BJ895" s="989">
        <f t="shared" si="2483"/>
        <v>0</v>
      </c>
      <c r="BK895" s="92"/>
      <c r="BL895" s="92"/>
      <c r="BM895" s="92"/>
      <c r="BN895" s="92"/>
      <c r="BO895" s="989">
        <f t="shared" si="2484"/>
        <v>0</v>
      </c>
      <c r="BP895" s="989"/>
      <c r="BQ895" s="989"/>
      <c r="BR895" s="989"/>
      <c r="BS895" s="84"/>
    </row>
    <row r="896" spans="1:71" s="85" customFormat="1" ht="15">
      <c r="A896" s="82" t="str">
        <f t="shared" si="2457"/>
        <v>Collections of Other investments</v>
      </c>
      <c r="B896" s="92"/>
      <c r="C896" s="989">
        <f t="shared" si="2458"/>
        <v>520</v>
      </c>
      <c r="D896" s="989">
        <f t="shared" si="2458"/>
        <v>121</v>
      </c>
      <c r="E896" s="989">
        <f t="shared" si="2458"/>
        <v>164</v>
      </c>
      <c r="F896" s="989">
        <f t="shared" si="2458"/>
        <v>148</v>
      </c>
      <c r="G896" s="989">
        <f t="shared" si="2458"/>
        <v>151</v>
      </c>
      <c r="H896" s="92">
        <f t="shared" si="2458"/>
        <v>30</v>
      </c>
      <c r="I896" s="92">
        <f t="shared" si="2459"/>
        <v>51</v>
      </c>
      <c r="J896" s="92">
        <f t="shared" si="2459"/>
        <v>211</v>
      </c>
      <c r="K896" s="92">
        <f t="shared" si="2459"/>
        <v>114</v>
      </c>
      <c r="L896" s="989">
        <f t="shared" si="2460"/>
        <v>406</v>
      </c>
      <c r="M896" s="92">
        <f t="shared" si="2460"/>
        <v>47</v>
      </c>
      <c r="N896" s="92">
        <f t="shared" si="2461"/>
        <v>85</v>
      </c>
      <c r="O896" s="92">
        <f t="shared" si="2461"/>
        <v>46</v>
      </c>
      <c r="P896" s="92">
        <f t="shared" si="2461"/>
        <v>367</v>
      </c>
      <c r="Q896" s="989">
        <f t="shared" si="2462"/>
        <v>545</v>
      </c>
      <c r="R896" s="92">
        <f t="shared" si="2462"/>
        <v>94</v>
      </c>
      <c r="S896" s="92">
        <f t="shared" si="2463"/>
        <v>50</v>
      </c>
      <c r="T896" s="92">
        <f t="shared" si="2463"/>
        <v>62</v>
      </c>
      <c r="U896" s="92">
        <f t="shared" si="2463"/>
        <v>56</v>
      </c>
      <c r="V896" s="989">
        <f t="shared" si="2464"/>
        <v>262</v>
      </c>
      <c r="W896" s="92">
        <f t="shared" si="2464"/>
        <v>24</v>
      </c>
      <c r="X896" s="92">
        <f t="shared" si="2465"/>
        <v>94</v>
      </c>
      <c r="Y896" s="92">
        <f t="shared" si="2465"/>
        <v>52</v>
      </c>
      <c r="Z896" s="92">
        <f t="shared" si="2465"/>
        <v>104</v>
      </c>
      <c r="AA896" s="989">
        <f t="shared" si="2466"/>
        <v>274</v>
      </c>
      <c r="AB896" s="92">
        <f t="shared" si="2466"/>
        <v>76</v>
      </c>
      <c r="AC896" s="92">
        <f t="shared" si="2467"/>
        <v>59</v>
      </c>
      <c r="AD896" s="92">
        <f t="shared" si="2467"/>
        <v>99</v>
      </c>
      <c r="AE896" s="92">
        <f t="shared" si="2467"/>
        <v>299</v>
      </c>
      <c r="AF896" s="989">
        <f t="shared" si="2468"/>
        <v>533</v>
      </c>
      <c r="AG896" s="92">
        <f t="shared" si="2468"/>
        <v>44</v>
      </c>
      <c r="AH896" s="92">
        <f t="shared" si="2469"/>
        <v>179</v>
      </c>
      <c r="AI896" s="92">
        <f t="shared" si="2469"/>
        <v>56</v>
      </c>
      <c r="AJ896" s="92">
        <f t="shared" si="2469"/>
        <v>24</v>
      </c>
      <c r="AK896" s="989">
        <f t="shared" si="2470"/>
        <v>303</v>
      </c>
      <c r="AL896" s="92">
        <f t="shared" si="2470"/>
        <v>116</v>
      </c>
      <c r="AM896" s="92">
        <f t="shared" si="2471"/>
        <v>19</v>
      </c>
      <c r="AN896" s="92">
        <f t="shared" si="2471"/>
        <v>74</v>
      </c>
      <c r="AO896" s="92">
        <f t="shared" si="2471"/>
        <v>131</v>
      </c>
      <c r="AP896" s="989">
        <f t="shared" si="2472"/>
        <v>340</v>
      </c>
      <c r="AQ896" s="92">
        <f t="shared" si="2472"/>
        <v>328</v>
      </c>
      <c r="AR896" s="92">
        <f t="shared" si="2473"/>
        <v>309</v>
      </c>
      <c r="AS896" s="92">
        <f t="shared" si="2473"/>
        <v>59</v>
      </c>
      <c r="AT896" s="92">
        <f t="shared" si="2473"/>
        <v>710</v>
      </c>
      <c r="AU896" s="989">
        <f t="shared" si="2474"/>
        <v>1406</v>
      </c>
      <c r="AV896" s="92">
        <f t="shared" si="2474"/>
        <v>208</v>
      </c>
      <c r="AW896" s="92">
        <f t="shared" si="2475"/>
        <v>718</v>
      </c>
      <c r="AX896" s="92">
        <f t="shared" si="2475"/>
        <v>108</v>
      </c>
      <c r="AY896" s="92">
        <f t="shared" si="2475"/>
        <v>37</v>
      </c>
      <c r="AZ896" s="989">
        <f t="shared" si="2488" ref="AZ896">AZ824</f>
        <v>1071</v>
      </c>
      <c r="BA896" s="92">
        <f t="shared" si="2477"/>
        <v>55</v>
      </c>
      <c r="BB896" s="92">
        <f t="shared" si="2478"/>
        <v>26</v>
      </c>
      <c r="BC896" s="92">
        <f t="shared" si="2478"/>
        <v>72</v>
      </c>
      <c r="BD896" s="92">
        <f t="shared" si="2479"/>
        <v>441</v>
      </c>
      <c r="BE896" s="989">
        <f t="shared" si="2480"/>
        <v>594</v>
      </c>
      <c r="BF896" s="92">
        <f t="shared" si="2480"/>
        <v>84</v>
      </c>
      <c r="BG896" s="92">
        <f t="shared" si="2481"/>
        <v>36</v>
      </c>
      <c r="BH896" s="464">
        <f t="shared" si="2482"/>
        <v>49</v>
      </c>
      <c r="BI896" s="92"/>
      <c r="BJ896" s="989">
        <f t="shared" si="2483"/>
        <v>169</v>
      </c>
      <c r="BK896" s="92"/>
      <c r="BL896" s="92"/>
      <c r="BM896" s="92"/>
      <c r="BN896" s="92"/>
      <c r="BO896" s="989">
        <f t="shared" si="2484"/>
        <v>0</v>
      </c>
      <c r="BP896" s="989"/>
      <c r="BQ896" s="989"/>
      <c r="BR896" s="989"/>
      <c r="BS896" s="84"/>
    </row>
    <row r="897" spans="1:71" s="85" customFormat="1" ht="15">
      <c r="A897" s="82" t="str">
        <f t="shared" si="2457"/>
        <v>Collections of Fixed income securities</v>
      </c>
      <c r="B897" s="92"/>
      <c r="C897" s="989">
        <f t="shared" si="2458"/>
        <v>5556</v>
      </c>
      <c r="D897" s="989">
        <f t="shared" si="2458"/>
        <v>5147</v>
      </c>
      <c r="E897" s="989">
        <f t="shared" si="2458"/>
        <v>4951</v>
      </c>
      <c r="F897" s="989">
        <f t="shared" si="2458"/>
        <v>5417</v>
      </c>
      <c r="G897" s="989">
        <f t="shared" si="2458"/>
        <v>5908</v>
      </c>
      <c r="H897" s="92">
        <f t="shared" si="2458"/>
        <v>849</v>
      </c>
      <c r="I897" s="92">
        <f t="shared" si="2459"/>
        <v>881</v>
      </c>
      <c r="J897" s="92">
        <f t="shared" si="2459"/>
        <v>1057</v>
      </c>
      <c r="K897" s="92">
        <f t="shared" si="2459"/>
        <v>949</v>
      </c>
      <c r="L897" s="989">
        <f t="shared" si="2460"/>
        <v>3736</v>
      </c>
      <c r="M897" s="92">
        <f t="shared" si="2460"/>
        <v>1213</v>
      </c>
      <c r="N897" s="92">
        <f t="shared" si="2461"/>
        <v>1030</v>
      </c>
      <c r="O897" s="92">
        <f t="shared" si="2461"/>
        <v>1005</v>
      </c>
      <c r="P897" s="92">
        <f t="shared" si="2461"/>
        <v>1184</v>
      </c>
      <c r="Q897" s="989">
        <f t="shared" si="2462"/>
        <v>4432</v>
      </c>
      <c r="R897" s="92">
        <f t="shared" si="2462"/>
        <v>949</v>
      </c>
      <c r="S897" s="92">
        <f t="shared" si="2463"/>
        <v>1189</v>
      </c>
      <c r="T897" s="92">
        <f t="shared" si="2463"/>
        <v>1292</v>
      </c>
      <c r="U897" s="92">
        <f t="shared" si="2463"/>
        <v>1103</v>
      </c>
      <c r="V897" s="989">
        <f t="shared" si="2464"/>
        <v>4533</v>
      </c>
      <c r="W897" s="92">
        <f t="shared" si="2464"/>
        <v>1029</v>
      </c>
      <c r="X897" s="92">
        <f t="shared" si="2465"/>
        <v>1034</v>
      </c>
      <c r="Y897" s="92">
        <f t="shared" si="2465"/>
        <v>975</v>
      </c>
      <c r="Z897" s="92">
        <f t="shared" si="2465"/>
        <v>1156</v>
      </c>
      <c r="AA897" s="989">
        <f t="shared" si="2466"/>
        <v>4194</v>
      </c>
      <c r="AB897" s="92">
        <f t="shared" si="2466"/>
        <v>583</v>
      </c>
      <c r="AC897" s="92">
        <f t="shared" si="2467"/>
        <v>859</v>
      </c>
      <c r="AD897" s="92">
        <f t="shared" si="2467"/>
        <v>946</v>
      </c>
      <c r="AE897" s="92">
        <f t="shared" si="2467"/>
        <v>1078</v>
      </c>
      <c r="AF897" s="989">
        <f t="shared" si="2468"/>
        <v>3466</v>
      </c>
      <c r="AG897" s="92">
        <f t="shared" si="2468"/>
        <v>628</v>
      </c>
      <c r="AH897" s="92">
        <f t="shared" si="2469"/>
        <v>615</v>
      </c>
      <c r="AI897" s="92">
        <f t="shared" si="2469"/>
        <v>604</v>
      </c>
      <c r="AJ897" s="92">
        <f t="shared" si="2469"/>
        <v>723</v>
      </c>
      <c r="AK897" s="989">
        <f t="shared" si="2470"/>
        <v>2570</v>
      </c>
      <c r="AL897" s="92">
        <f t="shared" si="2470"/>
        <v>555</v>
      </c>
      <c r="AM897" s="92">
        <f t="shared" si="2471"/>
        <v>499</v>
      </c>
      <c r="AN897" s="92">
        <f t="shared" si="2471"/>
        <v>622</v>
      </c>
      <c r="AO897" s="92">
        <f t="shared" si="2471"/>
        <v>559</v>
      </c>
      <c r="AP897" s="989">
        <f t="shared" si="2472"/>
        <v>2235</v>
      </c>
      <c r="AQ897" s="92">
        <f t="shared" si="2472"/>
        <v>737</v>
      </c>
      <c r="AR897" s="92">
        <f t="shared" si="2473"/>
        <v>653</v>
      </c>
      <c r="AS897" s="92">
        <f t="shared" si="2473"/>
        <v>575</v>
      </c>
      <c r="AT897" s="92">
        <f t="shared" si="2473"/>
        <v>319</v>
      </c>
      <c r="AU897" s="989">
        <f t="shared" si="2474"/>
        <v>2284</v>
      </c>
      <c r="AV897" s="92">
        <f t="shared" si="2474"/>
        <v>104</v>
      </c>
      <c r="AW897" s="92">
        <f t="shared" si="2475"/>
        <v>155</v>
      </c>
      <c r="AX897" s="92">
        <f t="shared" si="2475"/>
        <v>267</v>
      </c>
      <c r="AY897" s="92">
        <f t="shared" si="2475"/>
        <v>202</v>
      </c>
      <c r="AZ897" s="989">
        <f t="shared" si="2489" ref="AZ897">AZ825</f>
        <v>728</v>
      </c>
      <c r="BA897" s="92">
        <f t="shared" si="2477"/>
        <v>646</v>
      </c>
      <c r="BB897" s="92">
        <f t="shared" si="2478"/>
        <v>346</v>
      </c>
      <c r="BC897" s="92">
        <f t="shared" si="2478"/>
        <v>392</v>
      </c>
      <c r="BD897" s="92">
        <f t="shared" si="2479"/>
        <v>257</v>
      </c>
      <c r="BE897" s="989">
        <f t="shared" si="2480"/>
        <v>1641</v>
      </c>
      <c r="BF897" s="92">
        <f t="shared" si="2480"/>
        <v>538</v>
      </c>
      <c r="BG897" s="92">
        <f t="shared" si="2481"/>
        <v>464</v>
      </c>
      <c r="BH897" s="464">
        <f t="shared" si="2482"/>
        <v>258</v>
      </c>
      <c r="BI897" s="92"/>
      <c r="BJ897" s="989">
        <f t="shared" si="2483"/>
        <v>1260</v>
      </c>
      <c r="BK897" s="92"/>
      <c r="BL897" s="92"/>
      <c r="BM897" s="92"/>
      <c r="BN897" s="92"/>
      <c r="BO897" s="989">
        <f t="shared" si="2484"/>
        <v>0</v>
      </c>
      <c r="BP897" s="989"/>
      <c r="BQ897" s="989"/>
      <c r="BR897" s="989"/>
      <c r="BS897" s="84"/>
    </row>
    <row r="898" spans="1:71" s="85" customFormat="1" ht="15">
      <c r="A898" s="82" t="str">
        <f t="shared" si="2457"/>
        <v>Collections of Mortgage loans</v>
      </c>
      <c r="B898" s="92"/>
      <c r="C898" s="989">
        <f t="shared" si="2458"/>
        <v>1764</v>
      </c>
      <c r="D898" s="989">
        <f t="shared" si="2458"/>
        <v>1076</v>
      </c>
      <c r="E898" s="989">
        <f t="shared" si="2458"/>
        <v>634</v>
      </c>
      <c r="F898" s="989">
        <f t="shared" si="2458"/>
        <v>1064</v>
      </c>
      <c r="G898" s="989">
        <f t="shared" si="2458"/>
        <v>1020</v>
      </c>
      <c r="H898" s="92">
        <f t="shared" si="2458"/>
        <v>324</v>
      </c>
      <c r="I898" s="92">
        <f t="shared" si="2459"/>
        <v>402</v>
      </c>
      <c r="J898" s="92">
        <f t="shared" si="2459"/>
        <v>142</v>
      </c>
      <c r="K898" s="92">
        <f t="shared" si="2459"/>
        <v>238</v>
      </c>
      <c r="L898" s="989">
        <f t="shared" si="2460"/>
        <v>1106</v>
      </c>
      <c r="M898" s="92">
        <f t="shared" si="2460"/>
        <v>114</v>
      </c>
      <c r="N898" s="92">
        <f t="shared" si="2461"/>
        <v>243</v>
      </c>
      <c r="O898" s="92">
        <f t="shared" si="2461"/>
        <v>-52</v>
      </c>
      <c r="P898" s="92">
        <f t="shared" si="2461"/>
        <v>233</v>
      </c>
      <c r="Q898" s="989">
        <f t="shared" si="2462"/>
        <v>538</v>
      </c>
      <c r="R898" s="92">
        <f t="shared" si="2462"/>
        <v>79</v>
      </c>
      <c r="S898" s="92">
        <f t="shared" si="2463"/>
        <v>71</v>
      </c>
      <c r="T898" s="92">
        <f t="shared" si="2463"/>
        <v>253</v>
      </c>
      <c r="U898" s="92">
        <f t="shared" si="2463"/>
        <v>98</v>
      </c>
      <c r="V898" s="989">
        <f t="shared" si="2464"/>
        <v>501</v>
      </c>
      <c r="W898" s="92">
        <f t="shared" si="2464"/>
        <v>223</v>
      </c>
      <c r="X898" s="92">
        <f t="shared" si="2465"/>
        <v>82</v>
      </c>
      <c r="Y898" s="92">
        <f t="shared" si="2465"/>
        <v>172</v>
      </c>
      <c r="Z898" s="92">
        <f t="shared" si="2465"/>
        <v>123</v>
      </c>
      <c r="AA898" s="989">
        <f t="shared" si="2466"/>
        <v>600</v>
      </c>
      <c r="AB898" s="92">
        <f t="shared" si="2466"/>
        <v>46</v>
      </c>
      <c r="AC898" s="92">
        <f t="shared" si="2467"/>
        <v>269</v>
      </c>
      <c r="AD898" s="92">
        <f t="shared" si="2467"/>
        <v>63</v>
      </c>
      <c r="AE898" s="92">
        <f t="shared" si="2467"/>
        <v>151</v>
      </c>
      <c r="AF898" s="989">
        <f t="shared" si="2468"/>
        <v>529</v>
      </c>
      <c r="AG898" s="92">
        <f t="shared" si="2468"/>
        <v>104</v>
      </c>
      <c r="AH898" s="92">
        <f t="shared" si="2469"/>
        <v>190</v>
      </c>
      <c r="AI898" s="92">
        <f t="shared" si="2469"/>
        <v>157</v>
      </c>
      <c r="AJ898" s="92">
        <f t="shared" si="2469"/>
        <v>244</v>
      </c>
      <c r="AK898" s="989">
        <f t="shared" si="2470"/>
        <v>695</v>
      </c>
      <c r="AL898" s="92">
        <f t="shared" si="2470"/>
        <v>118</v>
      </c>
      <c r="AM898" s="92">
        <f t="shared" si="2471"/>
        <v>38</v>
      </c>
      <c r="AN898" s="92">
        <f t="shared" si="2471"/>
        <v>122</v>
      </c>
      <c r="AO898" s="92">
        <f t="shared" si="2471"/>
        <v>348</v>
      </c>
      <c r="AP898" s="989">
        <f t="shared" si="2472"/>
        <v>626</v>
      </c>
      <c r="AQ898" s="92">
        <f t="shared" si="2472"/>
        <v>134</v>
      </c>
      <c r="AR898" s="92">
        <f t="shared" si="2473"/>
        <v>346</v>
      </c>
      <c r="AS898" s="92">
        <f t="shared" si="2473"/>
        <v>267</v>
      </c>
      <c r="AT898" s="92">
        <f t="shared" si="2473"/>
        <v>113</v>
      </c>
      <c r="AU898" s="989">
        <f t="shared" si="2474"/>
        <v>860</v>
      </c>
      <c r="AV898" s="92">
        <f t="shared" si="2474"/>
        <v>3</v>
      </c>
      <c r="AW898" s="92">
        <f t="shared" si="2475"/>
        <v>57</v>
      </c>
      <c r="AX898" s="92">
        <f t="shared" si="2475"/>
        <v>32</v>
      </c>
      <c r="AY898" s="92">
        <f t="shared" si="2475"/>
        <v>71</v>
      </c>
      <c r="AZ898" s="989">
        <f t="shared" si="2490" ref="AZ898">AZ826</f>
        <v>163</v>
      </c>
      <c r="BA898" s="92">
        <f t="shared" si="2477"/>
        <v>22</v>
      </c>
      <c r="BB898" s="92">
        <f t="shared" si="2478"/>
        <v>14</v>
      </c>
      <c r="BC898" s="92">
        <f t="shared" si="2478"/>
        <v>30</v>
      </c>
      <c r="BD898" s="92">
        <f t="shared" si="2479"/>
        <v>15</v>
      </c>
      <c r="BE898" s="989">
        <f t="shared" si="2480"/>
        <v>81</v>
      </c>
      <c r="BF898" s="92">
        <f t="shared" si="2480"/>
        <v>7</v>
      </c>
      <c r="BG898" s="92">
        <f t="shared" si="2481"/>
        <v>3</v>
      </c>
      <c r="BH898" s="464">
        <f t="shared" si="2482"/>
        <v>64</v>
      </c>
      <c r="BI898" s="92"/>
      <c r="BJ898" s="989">
        <f t="shared" si="2483"/>
        <v>74</v>
      </c>
      <c r="BK898" s="92"/>
      <c r="BL898" s="92"/>
      <c r="BM898" s="92"/>
      <c r="BN898" s="92"/>
      <c r="BO898" s="989">
        <f t="shared" si="2484"/>
        <v>0</v>
      </c>
      <c r="BP898" s="989"/>
      <c r="BQ898" s="989"/>
      <c r="BR898" s="989"/>
      <c r="BS898" s="84"/>
    </row>
    <row r="899" spans="1:71" s="85" customFormat="1" ht="15">
      <c r="A899" s="82" t="str">
        <f t="shared" si="2457"/>
        <v>Collections of Other investments</v>
      </c>
      <c r="B899" s="92"/>
      <c r="C899" s="989">
        <f t="shared" si="2458"/>
        <v>117</v>
      </c>
      <c r="D899" s="989">
        <f t="shared" si="2458"/>
        <v>137</v>
      </c>
      <c r="E899" s="989">
        <f t="shared" si="2458"/>
        <v>123</v>
      </c>
      <c r="F899" s="989">
        <f t="shared" si="2458"/>
        <v>128</v>
      </c>
      <c r="G899" s="989">
        <f t="shared" si="2458"/>
        <v>275</v>
      </c>
      <c r="H899" s="92">
        <f t="shared" si="2458"/>
        <v>50</v>
      </c>
      <c r="I899" s="92">
        <f t="shared" si="2459"/>
        <v>57</v>
      </c>
      <c r="J899" s="92">
        <f t="shared" si="2459"/>
        <v>51</v>
      </c>
      <c r="K899" s="92">
        <f t="shared" si="2459"/>
        <v>33</v>
      </c>
      <c r="L899" s="989">
        <f t="shared" si="2460"/>
        <v>191</v>
      </c>
      <c r="M899" s="92">
        <f t="shared" si="2460"/>
        <v>60</v>
      </c>
      <c r="N899" s="92">
        <f t="shared" si="2461"/>
        <v>117</v>
      </c>
      <c r="O899" s="92">
        <f t="shared" si="2461"/>
        <v>77</v>
      </c>
      <c r="P899" s="92">
        <f t="shared" si="2461"/>
        <v>39</v>
      </c>
      <c r="Q899" s="989">
        <f t="shared" si="2462"/>
        <v>293</v>
      </c>
      <c r="R899" s="92">
        <f t="shared" si="2462"/>
        <v>43</v>
      </c>
      <c r="S899" s="92">
        <f t="shared" si="2463"/>
        <v>125</v>
      </c>
      <c r="T899" s="92">
        <f t="shared" si="2463"/>
        <v>113</v>
      </c>
      <c r="U899" s="92">
        <f t="shared" si="2463"/>
        <v>140</v>
      </c>
      <c r="V899" s="989">
        <f t="shared" si="2464"/>
        <v>421</v>
      </c>
      <c r="W899" s="92">
        <f t="shared" si="2464"/>
        <v>174</v>
      </c>
      <c r="X899" s="92">
        <f t="shared" si="2465"/>
        <v>163</v>
      </c>
      <c r="Y899" s="92">
        <f t="shared" si="2465"/>
        <v>121</v>
      </c>
      <c r="Z899" s="92">
        <f t="shared" si="2465"/>
        <v>184</v>
      </c>
      <c r="AA899" s="989">
        <f t="shared" si="2466"/>
        <v>642</v>
      </c>
      <c r="AB899" s="92">
        <f t="shared" si="2466"/>
        <v>122</v>
      </c>
      <c r="AC899" s="92">
        <f t="shared" si="2467"/>
        <v>113</v>
      </c>
      <c r="AD899" s="92">
        <f t="shared" si="2467"/>
        <v>135</v>
      </c>
      <c r="AE899" s="92">
        <f t="shared" si="2467"/>
        <v>118</v>
      </c>
      <c r="AF899" s="989">
        <f t="shared" si="2468"/>
        <v>488</v>
      </c>
      <c r="AG899" s="92">
        <f t="shared" si="2468"/>
        <v>68</v>
      </c>
      <c r="AH899" s="92">
        <f t="shared" si="2469"/>
        <v>70</v>
      </c>
      <c r="AI899" s="92">
        <f t="shared" si="2469"/>
        <v>65</v>
      </c>
      <c r="AJ899" s="92">
        <f t="shared" si="2469"/>
        <v>51</v>
      </c>
      <c r="AK899" s="989">
        <f t="shared" si="2470"/>
        <v>254</v>
      </c>
      <c r="AL899" s="92">
        <f t="shared" si="2470"/>
        <v>61</v>
      </c>
      <c r="AM899" s="92">
        <f t="shared" si="2471"/>
        <v>20</v>
      </c>
      <c r="AN899" s="92">
        <f t="shared" si="2471"/>
        <v>77</v>
      </c>
      <c r="AO899" s="92">
        <f t="shared" si="2471"/>
        <v>51</v>
      </c>
      <c r="AP899" s="989">
        <f t="shared" si="2472"/>
        <v>209</v>
      </c>
      <c r="AQ899" s="92">
        <f t="shared" si="2472"/>
        <v>109</v>
      </c>
      <c r="AR899" s="92">
        <f t="shared" si="2473"/>
        <v>134</v>
      </c>
      <c r="AS899" s="92">
        <f t="shared" si="2473"/>
        <v>178</v>
      </c>
      <c r="AT899" s="92">
        <f t="shared" si="2473"/>
        <v>129</v>
      </c>
      <c r="AU899" s="989">
        <f t="shared" si="2474"/>
        <v>550</v>
      </c>
      <c r="AV899" s="92">
        <f t="shared" si="2474"/>
        <v>49</v>
      </c>
      <c r="AW899" s="92">
        <f t="shared" si="2475"/>
        <v>61</v>
      </c>
      <c r="AX899" s="92">
        <f t="shared" si="2475"/>
        <v>34</v>
      </c>
      <c r="AY899" s="92">
        <f t="shared" si="2475"/>
        <v>23</v>
      </c>
      <c r="AZ899" s="989">
        <f t="shared" si="2491" ref="AZ899">AZ827</f>
        <v>167</v>
      </c>
      <c r="BA899" s="92">
        <f t="shared" si="2477"/>
        <v>25</v>
      </c>
      <c r="BB899" s="92">
        <f t="shared" si="2478"/>
        <v>28</v>
      </c>
      <c r="BC899" s="92">
        <f t="shared" si="2478"/>
        <v>23</v>
      </c>
      <c r="BD899" s="92">
        <f t="shared" si="2479"/>
        <v>76</v>
      </c>
      <c r="BE899" s="989">
        <f t="shared" si="2480"/>
        <v>152</v>
      </c>
      <c r="BF899" s="92">
        <f t="shared" si="2480"/>
        <v>6</v>
      </c>
      <c r="BG899" s="92">
        <f t="shared" si="2481"/>
        <v>13</v>
      </c>
      <c r="BH899" s="464">
        <f t="shared" si="2482"/>
        <v>16</v>
      </c>
      <c r="BI899" s="92"/>
      <c r="BJ899" s="989">
        <f t="shared" si="2483"/>
        <v>35</v>
      </c>
      <c r="BK899" s="92"/>
      <c r="BL899" s="92"/>
      <c r="BM899" s="92"/>
      <c r="BN899" s="92"/>
      <c r="BO899" s="989">
        <f t="shared" si="2484"/>
        <v>0</v>
      </c>
      <c r="BP899" s="989"/>
      <c r="BQ899" s="989"/>
      <c r="BR899" s="989"/>
      <c r="BS899" s="84"/>
    </row>
    <row r="900" spans="1:71" s="85" customFormat="1" ht="15">
      <c r="A900" s="82" t="str">
        <f t="shared" si="2457"/>
        <v>Purchases of Fixed income securities</v>
      </c>
      <c r="B900" s="92"/>
      <c r="C900" s="989">
        <f t="shared" si="2458"/>
        <v>-29573</v>
      </c>
      <c r="D900" s="989">
        <f t="shared" si="2458"/>
        <v>-25745</v>
      </c>
      <c r="E900" s="989">
        <f t="shared" si="2458"/>
        <v>-27896</v>
      </c>
      <c r="F900" s="989">
        <f t="shared" si="2458"/>
        <v>-22658</v>
      </c>
      <c r="G900" s="989">
        <f t="shared" si="2458"/>
        <v>-24087</v>
      </c>
      <c r="H900" s="92">
        <f t="shared" si="2458"/>
        <v>-6252</v>
      </c>
      <c r="I900" s="92">
        <f t="shared" si="2459"/>
        <v>-9550</v>
      </c>
      <c r="J900" s="92">
        <f t="shared" si="2459"/>
        <v>-14848</v>
      </c>
      <c r="K900" s="92">
        <f t="shared" si="2459"/>
        <v>-8109</v>
      </c>
      <c r="L900" s="989">
        <f t="shared" si="2460"/>
        <v>-38759</v>
      </c>
      <c r="M900" s="92">
        <f t="shared" si="2460"/>
        <v>-9210</v>
      </c>
      <c r="N900" s="92">
        <f t="shared" si="2461"/>
        <v>-7272</v>
      </c>
      <c r="O900" s="92">
        <f t="shared" si="2461"/>
        <v>-6446</v>
      </c>
      <c r="P900" s="92">
        <f t="shared" si="2461"/>
        <v>-7830</v>
      </c>
      <c r="Q900" s="989">
        <f t="shared" si="2462"/>
        <v>-30758</v>
      </c>
      <c r="R900" s="92">
        <f t="shared" si="2462"/>
        <v>-5401</v>
      </c>
      <c r="S900" s="92">
        <f t="shared" si="2463"/>
        <v>-7546</v>
      </c>
      <c r="T900" s="92">
        <f t="shared" si="2463"/>
        <v>-9335</v>
      </c>
      <c r="U900" s="92">
        <f t="shared" si="2463"/>
        <v>-5708</v>
      </c>
      <c r="V900" s="989">
        <f t="shared" si="2464"/>
        <v>-27990</v>
      </c>
      <c r="W900" s="92">
        <f t="shared" si="2464"/>
        <v>-8800</v>
      </c>
      <c r="X900" s="92">
        <f t="shared" si="2465"/>
        <v>-8414</v>
      </c>
      <c r="Y900" s="92">
        <f t="shared" si="2465"/>
        <v>-6721</v>
      </c>
      <c r="Z900" s="92">
        <f t="shared" si="2465"/>
        <v>-7210</v>
      </c>
      <c r="AA900" s="989">
        <f t="shared" si="2466"/>
        <v>-31145</v>
      </c>
      <c r="AB900" s="92">
        <f t="shared" si="2466"/>
        <v>-9789</v>
      </c>
      <c r="AC900" s="92">
        <f t="shared" si="2467"/>
        <v>-10612</v>
      </c>
      <c r="AD900" s="92">
        <f t="shared" si="2467"/>
        <v>-8648</v>
      </c>
      <c r="AE900" s="92">
        <f t="shared" si="2467"/>
        <v>-7911</v>
      </c>
      <c r="AF900" s="989">
        <f t="shared" si="2468"/>
        <v>-36960</v>
      </c>
      <c r="AG900" s="92">
        <f t="shared" si="2468"/>
        <v>-9056</v>
      </c>
      <c r="AH900" s="92">
        <f t="shared" si="2469"/>
        <v>-8380</v>
      </c>
      <c r="AI900" s="92">
        <f t="shared" si="2469"/>
        <v>-6100</v>
      </c>
      <c r="AJ900" s="92">
        <f t="shared" si="2469"/>
        <v>-7781</v>
      </c>
      <c r="AK900" s="989">
        <f t="shared" si="2470"/>
        <v>-31317</v>
      </c>
      <c r="AL900" s="92">
        <f t="shared" si="2470"/>
        <v>-14667</v>
      </c>
      <c r="AM900" s="92">
        <f t="shared" si="2471"/>
        <v>-9547</v>
      </c>
      <c r="AN900" s="92">
        <f t="shared" si="2471"/>
        <v>-7529</v>
      </c>
      <c r="AO900" s="92">
        <f t="shared" si="2471"/>
        <v>-6378</v>
      </c>
      <c r="AP900" s="989">
        <f t="shared" si="2472"/>
        <v>-38121</v>
      </c>
      <c r="AQ900" s="92">
        <f t="shared" si="2472"/>
        <v>-7968</v>
      </c>
      <c r="AR900" s="92">
        <f t="shared" si="2473"/>
        <v>-8765</v>
      </c>
      <c r="AS900" s="92">
        <f t="shared" si="2473"/>
        <v>-5949</v>
      </c>
      <c r="AT900" s="92">
        <f t="shared" si="2473"/>
        <v>-11175</v>
      </c>
      <c r="AU900" s="989">
        <f t="shared" si="2474"/>
        <v>-33857</v>
      </c>
      <c r="AV900" s="92">
        <f t="shared" si="2474"/>
        <v>-13220</v>
      </c>
      <c r="AW900" s="92">
        <f t="shared" si="2475"/>
        <v>-9687</v>
      </c>
      <c r="AX900" s="92">
        <f t="shared" si="2475"/>
        <v>-7196</v>
      </c>
      <c r="AY900" s="92">
        <f t="shared" si="2475"/>
        <v>-6817</v>
      </c>
      <c r="AZ900" s="989">
        <f t="shared" si="2492" ref="AZ900">AZ828</f>
        <v>-36920</v>
      </c>
      <c r="BA900" s="92">
        <f t="shared" si="2477"/>
        <v>-8424</v>
      </c>
      <c r="BB900" s="92">
        <f t="shared" si="2478"/>
        <v>-7451</v>
      </c>
      <c r="BC900" s="92">
        <f t="shared" si="2478"/>
        <v>-7833</v>
      </c>
      <c r="BD900" s="92">
        <f t="shared" si="2479"/>
        <v>-5723</v>
      </c>
      <c r="BE900" s="989">
        <f t="shared" si="2480"/>
        <v>-29431</v>
      </c>
      <c r="BF900" s="92">
        <f t="shared" si="2480"/>
        <v>-9592</v>
      </c>
      <c r="BG900" s="92">
        <f t="shared" si="2481"/>
        <v>-10784</v>
      </c>
      <c r="BH900" s="464">
        <f t="shared" si="2482"/>
        <v>-12647</v>
      </c>
      <c r="BI900" s="92">
        <f>MIN(-BI360+BH360,0)</f>
        <v>0</v>
      </c>
      <c r="BJ900" s="989">
        <f t="shared" si="2483"/>
        <v>-33023</v>
      </c>
      <c r="BK900" s="92">
        <f>MIN(-BK360+BJ360,0)</f>
        <v>-4421.5299999999988</v>
      </c>
      <c r="BL900" s="92">
        <f>MIN(-BL360+BK360,0)</f>
        <v>0</v>
      </c>
      <c r="BM900" s="92">
        <f>MIN(-BM360+BL360,0)</f>
        <v>-4044.6399999999849</v>
      </c>
      <c r="BN900" s="92">
        <f>MIN(-BN360+BM360,0)</f>
        <v>0</v>
      </c>
      <c r="BO900" s="989">
        <f t="shared" si="2484"/>
        <v>-8466.1699999999837</v>
      </c>
      <c r="BP900" s="989">
        <f>MIN(-BP360+BO360,0)</f>
        <v>-718.37553599999956</v>
      </c>
      <c r="BQ900" s="989">
        <f>MIN(-BQ360+BP360,0)</f>
        <v>-768.48102432000451</v>
      </c>
      <c r="BR900" s="989">
        <f>MIN(-BR360+BQ360,0)</f>
        <v>-823.90477242240013</v>
      </c>
      <c r="BS900" s="84"/>
    </row>
    <row r="901" spans="1:71" s="85" customFormat="1" ht="15">
      <c r="A901" s="82" t="str">
        <f t="shared" si="2457"/>
        <v>Purchases of Equity securities</v>
      </c>
      <c r="B901" s="92"/>
      <c r="C901" s="989">
        <f t="shared" si="2458"/>
        <v>-8496</v>
      </c>
      <c r="D901" s="989">
        <f t="shared" si="2458"/>
        <v>-3564</v>
      </c>
      <c r="E901" s="989">
        <f t="shared" si="2458"/>
        <v>-1824</v>
      </c>
      <c r="F901" s="989">
        <f t="shared" si="2458"/>
        <v>-671</v>
      </c>
      <c r="G901" s="989">
        <f t="shared" si="2458"/>
        <v>-3677</v>
      </c>
      <c r="H901" s="92">
        <f t="shared" si="2458"/>
        <v>-1330</v>
      </c>
      <c r="I901" s="92">
        <f t="shared" si="2459"/>
        <v>-1338</v>
      </c>
      <c r="J901" s="92">
        <f t="shared" si="2459"/>
        <v>-1540</v>
      </c>
      <c r="K901" s="92">
        <f t="shared" si="2459"/>
        <v>-1235</v>
      </c>
      <c r="L901" s="989">
        <f t="shared" si="2460"/>
        <v>-5443</v>
      </c>
      <c r="M901" s="92">
        <f t="shared" si="2460"/>
        <v>-1172</v>
      </c>
      <c r="N901" s="92">
        <f t="shared" si="2461"/>
        <v>-748</v>
      </c>
      <c r="O901" s="92">
        <f t="shared" si="2461"/>
        <v>-1318</v>
      </c>
      <c r="P901" s="92">
        <f t="shared" si="2461"/>
        <v>-1722</v>
      </c>
      <c r="Q901" s="989">
        <f t="shared" si="2462"/>
        <v>-4960</v>
      </c>
      <c r="R901" s="92">
        <f t="shared" si="2462"/>
        <v>-1733</v>
      </c>
      <c r="S901" s="92">
        <f t="shared" si="2463"/>
        <v>-939</v>
      </c>
      <c r="T901" s="92">
        <f t="shared" si="2463"/>
        <v>-1441</v>
      </c>
      <c r="U901" s="92">
        <f t="shared" si="2463"/>
        <v>-1837</v>
      </c>
      <c r="V901" s="989">
        <f t="shared" si="2464"/>
        <v>-5950</v>
      </c>
      <c r="W901" s="92">
        <f t="shared" si="2464"/>
        <v>-2383</v>
      </c>
      <c r="X901" s="92">
        <f t="shared" si="2465"/>
        <v>-1090</v>
      </c>
      <c r="Y901" s="92">
        <f t="shared" si="2465"/>
        <v>-1823</v>
      </c>
      <c r="Z901" s="92">
        <f t="shared" si="2465"/>
        <v>-1289</v>
      </c>
      <c r="AA901" s="989">
        <f t="shared" si="2466"/>
        <v>-6585</v>
      </c>
      <c r="AB901" s="92">
        <f t="shared" si="2466"/>
        <v>-1535</v>
      </c>
      <c r="AC901" s="92">
        <f t="shared" si="2467"/>
        <v>-2366</v>
      </c>
      <c r="AD901" s="92">
        <f t="shared" si="2467"/>
        <v>-890</v>
      </c>
      <c r="AE901" s="92">
        <f t="shared" si="2467"/>
        <v>-1145</v>
      </c>
      <c r="AF901" s="989">
        <f t="shared" si="2468"/>
        <v>-5936</v>
      </c>
      <c r="AG901" s="92">
        <f t="shared" si="2468"/>
        <v>-871</v>
      </c>
      <c r="AH901" s="92">
        <f t="shared" si="2469"/>
        <v>-3318</v>
      </c>
      <c r="AI901" s="92">
        <f t="shared" si="2469"/>
        <v>-1891</v>
      </c>
      <c r="AJ901" s="92">
        <f t="shared" si="2469"/>
        <v>-1096</v>
      </c>
      <c r="AK901" s="989">
        <f t="shared" si="2470"/>
        <v>-7176</v>
      </c>
      <c r="AL901" s="92">
        <f t="shared" si="2470"/>
        <v>-1619</v>
      </c>
      <c r="AM901" s="92">
        <f t="shared" si="2471"/>
        <v>-1288</v>
      </c>
      <c r="AN901" s="92">
        <f t="shared" si="2471"/>
        <v>-975</v>
      </c>
      <c r="AO901" s="92">
        <f t="shared" si="2471"/>
        <v>-766</v>
      </c>
      <c r="AP901" s="989">
        <f t="shared" si="2472"/>
        <v>-4648</v>
      </c>
      <c r="AQ901" s="92">
        <f t="shared" si="2472"/>
        <v>-539</v>
      </c>
      <c r="AR901" s="92">
        <f t="shared" si="2473"/>
        <v>-783</v>
      </c>
      <c r="AS901" s="92">
        <f t="shared" si="2473"/>
        <v>-468</v>
      </c>
      <c r="AT901" s="92">
        <f t="shared" si="2473"/>
        <v>-4619</v>
      </c>
      <c r="AU901" s="989">
        <f t="shared" si="2474"/>
        <v>-6409</v>
      </c>
      <c r="AV901" s="92">
        <f t="shared" si="2474"/>
        <v>-3624</v>
      </c>
      <c r="AW901" s="92">
        <f t="shared" si="2475"/>
        <v>-2404</v>
      </c>
      <c r="AX901" s="92">
        <f t="shared" si="2475"/>
        <v>-1585</v>
      </c>
      <c r="AY901" s="92">
        <f t="shared" si="2475"/>
        <v>-1681</v>
      </c>
      <c r="AZ901" s="989">
        <f t="shared" si="2493" ref="AZ901">AZ829</f>
        <v>-9294</v>
      </c>
      <c r="BA901" s="92">
        <f t="shared" si="2477"/>
        <v>-1187</v>
      </c>
      <c r="BB901" s="92">
        <f t="shared" si="2478"/>
        <v>-530</v>
      </c>
      <c r="BC901" s="92">
        <f t="shared" si="2478"/>
        <v>-599</v>
      </c>
      <c r="BD901" s="92">
        <f t="shared" si="2479"/>
        <v>-619</v>
      </c>
      <c r="BE901" s="989">
        <f t="shared" si="2480"/>
        <v>-2935</v>
      </c>
      <c r="BF901" s="92">
        <f t="shared" si="2480"/>
        <v>-430</v>
      </c>
      <c r="BG901" s="92">
        <f t="shared" si="2481"/>
        <v>-827</v>
      </c>
      <c r="BH901" s="464">
        <f t="shared" si="2482"/>
        <v>-374</v>
      </c>
      <c r="BI901" s="92"/>
      <c r="BJ901" s="989">
        <f t="shared" si="2483"/>
        <v>-1631</v>
      </c>
      <c r="BK901" s="92"/>
      <c r="BL901" s="92"/>
      <c r="BM901" s="92"/>
      <c r="BN901" s="92"/>
      <c r="BO901" s="989">
        <f t="shared" si="2484"/>
        <v>0</v>
      </c>
      <c r="BP901" s="989"/>
      <c r="BQ901" s="989"/>
      <c r="BR901" s="989"/>
      <c r="BS901" s="84"/>
    </row>
    <row r="902" spans="1:71" s="85" customFormat="1" ht="15">
      <c r="A902" s="82" t="str">
        <f t="shared" si="2457"/>
        <v>Purchases of Limited partnership interests</v>
      </c>
      <c r="B902" s="92"/>
      <c r="C902" s="989">
        <f t="shared" si="2494" ref="C902:H910">C830</f>
        <v>-784</v>
      </c>
      <c r="D902" s="989">
        <f t="shared" si="2494"/>
        <v>-1342</v>
      </c>
      <c r="E902" s="989">
        <f t="shared" si="2494"/>
        <v>-1696</v>
      </c>
      <c r="F902" s="989">
        <f t="shared" si="2494"/>
        <v>-1524</v>
      </c>
      <c r="G902" s="989">
        <f t="shared" si="2494"/>
        <v>-1312</v>
      </c>
      <c r="H902" s="92">
        <f t="shared" si="2494"/>
        <v>-277</v>
      </c>
      <c r="I902" s="92">
        <f t="shared" si="2459"/>
        <v>-376</v>
      </c>
      <c r="J902" s="92">
        <f t="shared" si="2459"/>
        <v>-239</v>
      </c>
      <c r="K902" s="92">
        <f t="shared" si="2459"/>
        <v>-506</v>
      </c>
      <c r="L902" s="989">
        <f t="shared" si="2460"/>
        <v>-1398</v>
      </c>
      <c r="M902" s="92">
        <f t="shared" si="2460"/>
        <v>-365</v>
      </c>
      <c r="N902" s="92">
        <f t="shared" si="2461"/>
        <v>-198</v>
      </c>
      <c r="O902" s="92">
        <f t="shared" si="2461"/>
        <v>-367</v>
      </c>
      <c r="P902" s="92">
        <f t="shared" si="2461"/>
        <v>-413</v>
      </c>
      <c r="Q902" s="989">
        <f t="shared" si="2462"/>
        <v>-1343</v>
      </c>
      <c r="R902" s="92">
        <f t="shared" si="2462"/>
        <v>-270</v>
      </c>
      <c r="S902" s="92">
        <f t="shared" si="2463"/>
        <v>-433</v>
      </c>
      <c r="T902" s="92">
        <f t="shared" si="2463"/>
        <v>-425</v>
      </c>
      <c r="U902" s="92">
        <f t="shared" si="2463"/>
        <v>-322</v>
      </c>
      <c r="V902" s="989">
        <f t="shared" si="2464"/>
        <v>-1450</v>
      </c>
      <c r="W902" s="92">
        <f t="shared" si="2464"/>
        <v>-268</v>
      </c>
      <c r="X902" s="92">
        <f t="shared" si="2465"/>
        <v>-310</v>
      </c>
      <c r="Y902" s="92">
        <f t="shared" si="2465"/>
        <v>-504</v>
      </c>
      <c r="Z902" s="92">
        <f t="shared" si="2465"/>
        <v>-358</v>
      </c>
      <c r="AA902" s="989">
        <f t="shared" si="2466"/>
        <v>-1440</v>
      </c>
      <c r="AB902" s="92">
        <f t="shared" si="2466"/>
        <v>-415</v>
      </c>
      <c r="AC902" s="92">
        <f t="shared" si="2467"/>
        <v>-458</v>
      </c>
      <c r="AD902" s="92">
        <f t="shared" si="2467"/>
        <v>-444</v>
      </c>
      <c r="AE902" s="92">
        <f t="shared" si="2467"/>
        <v>-362</v>
      </c>
      <c r="AF902" s="989">
        <f t="shared" si="2468"/>
        <v>-1679</v>
      </c>
      <c r="AG902" s="92">
        <f t="shared" si="2468"/>
        <v>-282</v>
      </c>
      <c r="AH902" s="92">
        <f t="shared" si="2469"/>
        <v>-390</v>
      </c>
      <c r="AI902" s="92">
        <f t="shared" si="2469"/>
        <v>-317</v>
      </c>
      <c r="AJ902" s="92">
        <f t="shared" si="2469"/>
        <v>-343</v>
      </c>
      <c r="AK902" s="989">
        <f t="shared" si="2470"/>
        <v>-1332</v>
      </c>
      <c r="AL902" s="92">
        <f t="shared" si="2470"/>
        <v>-357</v>
      </c>
      <c r="AM902" s="92">
        <f t="shared" si="2471"/>
        <v>-156</v>
      </c>
      <c r="AN902" s="92">
        <f t="shared" si="2471"/>
        <v>-283</v>
      </c>
      <c r="AO902" s="92">
        <f t="shared" si="2471"/>
        <v>-469</v>
      </c>
      <c r="AP902" s="989">
        <f t="shared" si="2472"/>
        <v>-1265</v>
      </c>
      <c r="AQ902" s="92">
        <f t="shared" si="2472"/>
        <v>-322</v>
      </c>
      <c r="AR902" s="92">
        <f t="shared" si="2473"/>
        <v>-254</v>
      </c>
      <c r="AS902" s="92">
        <f t="shared" si="2473"/>
        <v>-351</v>
      </c>
      <c r="AT902" s="92">
        <f t="shared" si="2473"/>
        <v>-839</v>
      </c>
      <c r="AU902" s="989">
        <f t="shared" si="2474"/>
        <v>-1766</v>
      </c>
      <c r="AV902" s="92">
        <f t="shared" si="2474"/>
        <v>-216</v>
      </c>
      <c r="AW902" s="92">
        <f t="shared" si="2475"/>
        <v>-374</v>
      </c>
      <c r="AX902" s="92">
        <f t="shared" si="2475"/>
        <v>-270</v>
      </c>
      <c r="AY902" s="92">
        <f t="shared" si="2475"/>
        <v>-398</v>
      </c>
      <c r="AZ902" s="989">
        <f t="shared" si="2495" ref="AZ902">AZ830</f>
        <v>-1258</v>
      </c>
      <c r="BA902" s="92">
        <f t="shared" si="2477"/>
        <v>-226</v>
      </c>
      <c r="BB902" s="92">
        <f t="shared" si="2478"/>
        <v>-198</v>
      </c>
      <c r="BC902" s="92">
        <f t="shared" si="2478"/>
        <v>-215</v>
      </c>
      <c r="BD902" s="92">
        <f t="shared" si="2479"/>
        <v>-251</v>
      </c>
      <c r="BE902" s="989">
        <f t="shared" si="2480"/>
        <v>-890</v>
      </c>
      <c r="BF902" s="92">
        <f t="shared" si="2480"/>
        <v>-237</v>
      </c>
      <c r="BG902" s="92">
        <f t="shared" si="2481"/>
        <v>-323</v>
      </c>
      <c r="BH902" s="464">
        <f t="shared" si="2482"/>
        <v>-355</v>
      </c>
      <c r="BI902" s="92"/>
      <c r="BJ902" s="989">
        <f t="shared" si="2483"/>
        <v>-915</v>
      </c>
      <c r="BK902" s="92"/>
      <c r="BL902" s="92"/>
      <c r="BM902" s="92"/>
      <c r="BN902" s="92"/>
      <c r="BO902" s="989">
        <f t="shared" si="2484"/>
        <v>0</v>
      </c>
      <c r="BP902" s="989"/>
      <c r="BQ902" s="989"/>
      <c r="BR902" s="989"/>
      <c r="BS902" s="84"/>
    </row>
    <row r="903" spans="1:71" s="85" customFormat="1" ht="15">
      <c r="A903" s="82" t="str">
        <f t="shared" si="2457"/>
        <v>Purchases of Mortgage loans</v>
      </c>
      <c r="B903" s="92"/>
      <c r="C903" s="989">
        <f t="shared" si="2494"/>
        <v>-26</v>
      </c>
      <c r="D903" s="989">
        <f t="shared" si="2494"/>
        <v>-120</v>
      </c>
      <c r="E903" s="989">
        <f t="shared" si="2494"/>
        <v>-1241</v>
      </c>
      <c r="F903" s="989">
        <f t="shared" si="2494"/>
        <v>-525</v>
      </c>
      <c r="G903" s="989">
        <f t="shared" si="2494"/>
        <v>-538</v>
      </c>
      <c r="H903" s="92">
        <f t="shared" si="2494"/>
        <v>-2</v>
      </c>
      <c r="I903" s="92">
        <f t="shared" si="2459"/>
        <v>-107</v>
      </c>
      <c r="J903" s="92">
        <f t="shared" si="2459"/>
        <v>-109</v>
      </c>
      <c r="K903" s="92">
        <f t="shared" si="2459"/>
        <v>-283</v>
      </c>
      <c r="L903" s="989">
        <f t="shared" si="2460"/>
        <v>-501</v>
      </c>
      <c r="M903" s="92">
        <f t="shared" si="2460"/>
        <v>-202</v>
      </c>
      <c r="N903" s="92">
        <f t="shared" si="2461"/>
        <v>-307</v>
      </c>
      <c r="O903" s="92">
        <f t="shared" si="2461"/>
        <v>-15</v>
      </c>
      <c r="P903" s="92">
        <f t="shared" si="2461"/>
        <v>-163</v>
      </c>
      <c r="Q903" s="989">
        <f t="shared" si="2462"/>
        <v>-687</v>
      </c>
      <c r="R903" s="92">
        <f t="shared" si="2462"/>
        <v>-44</v>
      </c>
      <c r="S903" s="92">
        <f t="shared" si="2463"/>
        <v>-220</v>
      </c>
      <c r="T903" s="92">
        <f t="shared" si="2463"/>
        <v>-196</v>
      </c>
      <c r="U903" s="92">
        <f t="shared" si="2463"/>
        <v>-186</v>
      </c>
      <c r="V903" s="989">
        <f t="shared" si="2464"/>
        <v>-646</v>
      </c>
      <c r="W903" s="92">
        <f t="shared" si="2464"/>
        <v>-86</v>
      </c>
      <c r="X903" s="92">
        <f t="shared" si="2465"/>
        <v>-62</v>
      </c>
      <c r="Y903" s="92">
        <f t="shared" si="2465"/>
        <v>-163</v>
      </c>
      <c r="Z903" s="92">
        <f t="shared" si="2465"/>
        <v>-335</v>
      </c>
      <c r="AA903" s="989">
        <f t="shared" si="2466"/>
        <v>-646</v>
      </c>
      <c r="AB903" s="92">
        <f t="shared" si="2466"/>
        <v>-192</v>
      </c>
      <c r="AC903" s="92">
        <f t="shared" si="2467"/>
        <v>-124</v>
      </c>
      <c r="AD903" s="92">
        <f t="shared" si="2467"/>
        <v>-119</v>
      </c>
      <c r="AE903" s="92">
        <f t="shared" si="2467"/>
        <v>-229</v>
      </c>
      <c r="AF903" s="989">
        <f t="shared" si="2468"/>
        <v>-664</v>
      </c>
      <c r="AG903" s="92">
        <f t="shared" si="2468"/>
        <v>-114</v>
      </c>
      <c r="AH903" s="92">
        <f t="shared" si="2469"/>
        <v>-197</v>
      </c>
      <c r="AI903" s="92">
        <f t="shared" si="2469"/>
        <v>-164</v>
      </c>
      <c r="AJ903" s="92">
        <f t="shared" si="2469"/>
        <v>-369</v>
      </c>
      <c r="AK903" s="989">
        <f t="shared" si="2470"/>
        <v>-844</v>
      </c>
      <c r="AL903" s="92">
        <f t="shared" si="2470"/>
        <v>-142</v>
      </c>
      <c r="AM903" s="92">
        <f t="shared" si="2471"/>
        <v>-54</v>
      </c>
      <c r="AN903" s="92">
        <f t="shared" si="2471"/>
        <v>-1</v>
      </c>
      <c r="AO903" s="92">
        <f t="shared" si="2471"/>
        <v>-6</v>
      </c>
      <c r="AP903" s="989">
        <f t="shared" si="2472"/>
        <v>-203</v>
      </c>
      <c r="AQ903" s="92">
        <f t="shared" si="2472"/>
        <v>0</v>
      </c>
      <c r="AR903" s="92">
        <f t="shared" si="2473"/>
        <v>-4</v>
      </c>
      <c r="AS903" s="92">
        <f t="shared" si="2473"/>
        <v>-93</v>
      </c>
      <c r="AT903" s="92">
        <f t="shared" si="2473"/>
        <v>-124</v>
      </c>
      <c r="AU903" s="989">
        <f t="shared" si="2474"/>
        <v>-221</v>
      </c>
      <c r="AV903" s="92">
        <f t="shared" si="2474"/>
        <v>-37</v>
      </c>
      <c r="AW903" s="92">
        <f t="shared" si="2475"/>
        <v>-52</v>
      </c>
      <c r="AX903" s="92">
        <f t="shared" si="2475"/>
        <v>-15</v>
      </c>
      <c r="AY903" s="92">
        <f t="shared" si="2475"/>
        <v>0</v>
      </c>
      <c r="AZ903" s="989">
        <f t="shared" si="2496" ref="AZ903">AZ831</f>
        <v>-104</v>
      </c>
      <c r="BA903" s="92">
        <f t="shared" si="2477"/>
        <v>-41</v>
      </c>
      <c r="BB903" s="92">
        <f t="shared" si="2478"/>
        <v>-59</v>
      </c>
      <c r="BC903" s="92">
        <f t="shared" si="2478"/>
        <v>-38</v>
      </c>
      <c r="BD903" s="92">
        <f t="shared" si="2479"/>
        <v>-7</v>
      </c>
      <c r="BE903" s="989">
        <f t="shared" si="2480"/>
        <v>-145</v>
      </c>
      <c r="BF903" s="92">
        <f t="shared" si="2480"/>
        <v>0</v>
      </c>
      <c r="BG903" s="92">
        <f t="shared" si="2481"/>
        <v>-1</v>
      </c>
      <c r="BH903" s="464">
        <f t="shared" si="2482"/>
        <v>-16</v>
      </c>
      <c r="BI903" s="92"/>
      <c r="BJ903" s="989">
        <f t="shared" si="2483"/>
        <v>-17</v>
      </c>
      <c r="BK903" s="92"/>
      <c r="BL903" s="92"/>
      <c r="BM903" s="92"/>
      <c r="BN903" s="92"/>
      <c r="BO903" s="989">
        <f t="shared" si="2484"/>
        <v>0</v>
      </c>
      <c r="BP903" s="989"/>
      <c r="BQ903" s="989"/>
      <c r="BR903" s="989"/>
      <c r="BS903" s="84"/>
    </row>
    <row r="904" spans="1:71" s="85" customFormat="1" ht="15">
      <c r="A904" s="82" t="str">
        <f t="shared" si="2457"/>
        <v>Purchases of Other investments</v>
      </c>
      <c r="B904" s="92"/>
      <c r="C904" s="989">
        <f t="shared" si="2494"/>
        <v>-64</v>
      </c>
      <c r="D904" s="989">
        <f t="shared" si="2494"/>
        <v>-181</v>
      </c>
      <c r="E904" s="989">
        <f t="shared" si="2494"/>
        <v>-204</v>
      </c>
      <c r="F904" s="989">
        <f t="shared" si="2494"/>
        <v>-665</v>
      </c>
      <c r="G904" s="989">
        <f t="shared" si="2494"/>
        <v>-1084</v>
      </c>
      <c r="H904" s="92">
        <f t="shared" si="2494"/>
        <v>-243</v>
      </c>
      <c r="I904" s="92">
        <f t="shared" si="2459"/>
        <v>-152</v>
      </c>
      <c r="J904" s="92">
        <f t="shared" si="2459"/>
        <v>-257</v>
      </c>
      <c r="K904" s="92">
        <f t="shared" si="2459"/>
        <v>-320</v>
      </c>
      <c r="L904" s="989">
        <f t="shared" si="2460"/>
        <v>-972</v>
      </c>
      <c r="M904" s="92">
        <f t="shared" si="2460"/>
        <v>-193</v>
      </c>
      <c r="N904" s="92">
        <f t="shared" si="2461"/>
        <v>-325</v>
      </c>
      <c r="O904" s="92">
        <f t="shared" si="2461"/>
        <v>-225</v>
      </c>
      <c r="P904" s="92">
        <f t="shared" si="2461"/>
        <v>-159</v>
      </c>
      <c r="Q904" s="989">
        <f t="shared" si="2462"/>
        <v>-902</v>
      </c>
      <c r="R904" s="92">
        <f t="shared" si="2462"/>
        <v>-253</v>
      </c>
      <c r="S904" s="92">
        <f t="shared" si="2463"/>
        <v>-196</v>
      </c>
      <c r="T904" s="92">
        <f t="shared" si="2463"/>
        <v>-225</v>
      </c>
      <c r="U904" s="92">
        <f t="shared" si="2463"/>
        <v>-211</v>
      </c>
      <c r="V904" s="989">
        <f t="shared" si="2464"/>
        <v>-885</v>
      </c>
      <c r="W904" s="92">
        <f t="shared" si="2464"/>
        <v>-219</v>
      </c>
      <c r="X904" s="92">
        <f t="shared" si="2465"/>
        <v>-313</v>
      </c>
      <c r="Y904" s="92">
        <f t="shared" si="2465"/>
        <v>-168</v>
      </c>
      <c r="Z904" s="92">
        <f t="shared" si="2465"/>
        <v>-299</v>
      </c>
      <c r="AA904" s="989">
        <f t="shared" si="2466"/>
        <v>-999</v>
      </c>
      <c r="AB904" s="92">
        <f t="shared" si="2466"/>
        <v>-330</v>
      </c>
      <c r="AC904" s="92">
        <f t="shared" si="2467"/>
        <v>-205</v>
      </c>
      <c r="AD904" s="92">
        <f t="shared" si="2467"/>
        <v>-151</v>
      </c>
      <c r="AE904" s="92">
        <f t="shared" si="2467"/>
        <v>-178</v>
      </c>
      <c r="AF904" s="989">
        <f t="shared" si="2468"/>
        <v>-864</v>
      </c>
      <c r="AG904" s="92">
        <f t="shared" si="2468"/>
        <v>-89</v>
      </c>
      <c r="AH904" s="92">
        <f t="shared" si="2469"/>
        <v>-305</v>
      </c>
      <c r="AI904" s="92">
        <f t="shared" si="2469"/>
        <v>-154</v>
      </c>
      <c r="AJ904" s="92">
        <f t="shared" si="2469"/>
        <v>-118</v>
      </c>
      <c r="AK904" s="989">
        <f t="shared" si="2470"/>
        <v>-666</v>
      </c>
      <c r="AL904" s="92">
        <f t="shared" si="2470"/>
        <v>-129</v>
      </c>
      <c r="AM904" s="92">
        <f t="shared" si="2471"/>
        <v>-70</v>
      </c>
      <c r="AN904" s="92">
        <f t="shared" si="2471"/>
        <v>-100</v>
      </c>
      <c r="AO904" s="92">
        <f t="shared" si="2471"/>
        <v>-72</v>
      </c>
      <c r="AP904" s="989">
        <f t="shared" si="2472"/>
        <v>-371</v>
      </c>
      <c r="AQ904" s="92">
        <f t="shared" si="2472"/>
        <v>-603</v>
      </c>
      <c r="AR904" s="92">
        <f t="shared" si="2473"/>
        <v>-648</v>
      </c>
      <c r="AS904" s="92">
        <f t="shared" si="2473"/>
        <v>-219</v>
      </c>
      <c r="AT904" s="92">
        <f t="shared" si="2473"/>
        <v>-177</v>
      </c>
      <c r="AU904" s="989">
        <f t="shared" si="2474"/>
        <v>-1647</v>
      </c>
      <c r="AV904" s="92">
        <f t="shared" si="2474"/>
        <v>-186</v>
      </c>
      <c r="AW904" s="92">
        <f t="shared" si="2475"/>
        <v>-46</v>
      </c>
      <c r="AX904" s="92">
        <f t="shared" si="2475"/>
        <v>-37</v>
      </c>
      <c r="AY904" s="92">
        <f t="shared" si="2475"/>
        <v>-26</v>
      </c>
      <c r="AZ904" s="989">
        <f t="shared" si="2497" ref="AZ904">AZ832</f>
        <v>-295</v>
      </c>
      <c r="BA904" s="92">
        <f t="shared" si="2477"/>
        <v>-73</v>
      </c>
      <c r="BB904" s="92">
        <f t="shared" si="2478"/>
        <v>-67</v>
      </c>
      <c r="BC904" s="92">
        <f t="shared" si="2478"/>
        <v>-94</v>
      </c>
      <c r="BD904" s="92">
        <f t="shared" si="2479"/>
        <v>-58</v>
      </c>
      <c r="BE904" s="989">
        <f t="shared" si="2480"/>
        <v>-292</v>
      </c>
      <c r="BF904" s="92">
        <f t="shared" si="2480"/>
        <v>-40</v>
      </c>
      <c r="BG904" s="92">
        <f t="shared" si="2481"/>
        <v>-19</v>
      </c>
      <c r="BH904" s="464">
        <f t="shared" si="2482"/>
        <v>-66</v>
      </c>
      <c r="BI904" s="92"/>
      <c r="BJ904" s="989">
        <f t="shared" si="2483"/>
        <v>-125</v>
      </c>
      <c r="BK904" s="92"/>
      <c r="BL904" s="92"/>
      <c r="BM904" s="92"/>
      <c r="BN904" s="92"/>
      <c r="BO904" s="989">
        <f t="shared" si="2484"/>
        <v>0</v>
      </c>
      <c r="BP904" s="989"/>
      <c r="BQ904" s="989"/>
      <c r="BR904" s="989"/>
      <c r="BS904" s="84"/>
    </row>
    <row r="905" spans="1:71" s="85" customFormat="1" ht="15">
      <c r="A905" s="82" t="str">
        <f t="shared" si="2457"/>
        <v>Change in short-term investments, net</v>
      </c>
      <c r="B905" s="92"/>
      <c r="C905" s="989">
        <f t="shared" si="2494"/>
        <v>5981</v>
      </c>
      <c r="D905" s="989">
        <f t="shared" si="2494"/>
        <v>-382</v>
      </c>
      <c r="E905" s="989">
        <f t="shared" si="2494"/>
        <v>2182</v>
      </c>
      <c r="F905" s="989">
        <f t="shared" si="2494"/>
        <v>-698</v>
      </c>
      <c r="G905" s="989">
        <f t="shared" si="2494"/>
        <v>-427</v>
      </c>
      <c r="H905" s="92">
        <f t="shared" si="2494"/>
        <v>189</v>
      </c>
      <c r="I905" s="92">
        <f t="shared" si="2459"/>
        <v>-249</v>
      </c>
      <c r="J905" s="92">
        <f t="shared" si="2459"/>
        <v>325</v>
      </c>
      <c r="K905" s="92">
        <f t="shared" si="2459"/>
        <v>7</v>
      </c>
      <c r="L905" s="989">
        <f t="shared" si="2460"/>
        <v>272</v>
      </c>
      <c r="M905" s="92">
        <f t="shared" si="2460"/>
        <v>-63</v>
      </c>
      <c r="N905" s="92">
        <f t="shared" si="2461"/>
        <v>-328</v>
      </c>
      <c r="O905" s="92">
        <f t="shared" si="2461"/>
        <v>-186</v>
      </c>
      <c r="P905" s="92">
        <f t="shared" si="2461"/>
        <v>962</v>
      </c>
      <c r="Q905" s="989">
        <f t="shared" si="2462"/>
        <v>385</v>
      </c>
      <c r="R905" s="92">
        <f t="shared" si="2462"/>
        <v>-1357</v>
      </c>
      <c r="S905" s="92">
        <f t="shared" si="2463"/>
        <v>688</v>
      </c>
      <c r="T905" s="92">
        <f t="shared" si="2463"/>
        <v>763</v>
      </c>
      <c r="U905" s="92">
        <f t="shared" si="2463"/>
        <v>-2540</v>
      </c>
      <c r="V905" s="989">
        <f t="shared" si="2464"/>
        <v>-2446</v>
      </c>
      <c r="W905" s="92">
        <f t="shared" si="2464"/>
        <v>1572</v>
      </c>
      <c r="X905" s="92">
        <f t="shared" si="2465"/>
        <v>570</v>
      </c>
      <c r="Y905" s="92">
        <f t="shared" si="2465"/>
        <v>115</v>
      </c>
      <c r="Z905" s="92">
        <f t="shared" si="2465"/>
        <v>353</v>
      </c>
      <c r="AA905" s="989">
        <f t="shared" si="2466"/>
        <v>2610</v>
      </c>
      <c r="AB905" s="92">
        <f t="shared" si="2466"/>
        <v>-1533</v>
      </c>
      <c r="AC905" s="92">
        <f t="shared" si="2467"/>
        <v>1021</v>
      </c>
      <c r="AD905" s="92">
        <f t="shared" si="2467"/>
        <v>-153</v>
      </c>
      <c r="AE905" s="92">
        <f t="shared" si="2467"/>
        <v>160</v>
      </c>
      <c r="AF905" s="989">
        <f t="shared" si="2468"/>
        <v>-505</v>
      </c>
      <c r="AG905" s="92">
        <f t="shared" si="2468"/>
        <v>-552</v>
      </c>
      <c r="AH905" s="92">
        <f t="shared" si="2469"/>
        <v>339</v>
      </c>
      <c r="AI905" s="92">
        <f t="shared" si="2469"/>
        <v>-1296</v>
      </c>
      <c r="AJ905" s="92">
        <f t="shared" si="2469"/>
        <v>742</v>
      </c>
      <c r="AK905" s="989">
        <f t="shared" si="2470"/>
        <v>-767</v>
      </c>
      <c r="AL905" s="92">
        <f t="shared" si="2470"/>
        <v>-1953</v>
      </c>
      <c r="AM905" s="92">
        <f t="shared" si="2471"/>
        <v>476</v>
      </c>
      <c r="AN905" s="92">
        <f t="shared" si="2471"/>
        <v>962</v>
      </c>
      <c r="AO905" s="92">
        <f t="shared" si="2471"/>
        <v>-3356</v>
      </c>
      <c r="AP905" s="989">
        <f t="shared" si="2472"/>
        <v>-3871</v>
      </c>
      <c r="AQ905" s="92">
        <f t="shared" si="2472"/>
        <v>0</v>
      </c>
      <c r="AR905" s="92">
        <f t="shared" si="2473"/>
        <v>1941</v>
      </c>
      <c r="AS905" s="92">
        <f t="shared" si="2473"/>
        <v>-1087</v>
      </c>
      <c r="AT905" s="92">
        <f t="shared" si="2473"/>
        <v>3163</v>
      </c>
      <c r="AU905" s="989">
        <f t="shared" si="2474"/>
        <v>4017</v>
      </c>
      <c r="AV905" s="92">
        <f t="shared" si="2474"/>
        <v>0</v>
      </c>
      <c r="AW905" s="92">
        <f t="shared" si="2475"/>
        <v>398</v>
      </c>
      <c r="AX905" s="92">
        <f t="shared" si="2475"/>
        <v>696</v>
      </c>
      <c r="AY905" s="92">
        <f t="shared" si="2475"/>
        <v>-302</v>
      </c>
      <c r="AZ905" s="989">
        <f t="shared" si="2498" ref="AZ905">AZ833</f>
        <v>792</v>
      </c>
      <c r="BA905" s="92">
        <f t="shared" si="2477"/>
        <v>0</v>
      </c>
      <c r="BB905" s="92">
        <f t="shared" si="2478"/>
        <v>-986</v>
      </c>
      <c r="BC905" s="92">
        <f t="shared" si="2478"/>
        <v>1837</v>
      </c>
      <c r="BD905" s="92">
        <f t="shared" si="2479"/>
        <v>-1468</v>
      </c>
      <c r="BE905" s="989">
        <f t="shared" si="2480"/>
        <v>-617</v>
      </c>
      <c r="BF905" s="92">
        <f t="shared" si="2480"/>
        <v>0</v>
      </c>
      <c r="BG905" s="92">
        <f t="shared" si="2481"/>
        <v>0</v>
      </c>
      <c r="BH905" s="464">
        <f t="shared" si="2482"/>
        <v>-1653</v>
      </c>
      <c r="BI905" s="92"/>
      <c r="BJ905" s="989">
        <f t="shared" si="2483"/>
        <v>-1653</v>
      </c>
      <c r="BK905" s="92"/>
      <c r="BL905" s="92"/>
      <c r="BM905" s="92"/>
      <c r="BN905" s="92"/>
      <c r="BO905" s="989">
        <f t="shared" si="2484"/>
        <v>0</v>
      </c>
      <c r="BP905" s="989"/>
      <c r="BQ905" s="989"/>
      <c r="BR905" s="989"/>
      <c r="BS905" s="84"/>
    </row>
    <row r="906" spans="1:71" s="85" customFormat="1" ht="15">
      <c r="A906" s="82" t="str">
        <f t="shared" si="2457"/>
        <v>Change in other investments, net</v>
      </c>
      <c r="B906" s="92"/>
      <c r="C906" s="989">
        <f t="shared" si="2494"/>
        <v>-340</v>
      </c>
      <c r="D906" s="989">
        <f t="shared" si="2494"/>
        <v>-519</v>
      </c>
      <c r="E906" s="989">
        <f t="shared" si="2494"/>
        <v>-415</v>
      </c>
      <c r="F906" s="989">
        <f t="shared" si="2494"/>
        <v>58</v>
      </c>
      <c r="G906" s="989">
        <f t="shared" si="2494"/>
        <v>97</v>
      </c>
      <c r="H906" s="92">
        <f t="shared" si="2494"/>
        <v>36</v>
      </c>
      <c r="I906" s="92">
        <f t="shared" si="2459"/>
        <v>13</v>
      </c>
      <c r="J906" s="92">
        <f t="shared" si="2459"/>
        <v>9</v>
      </c>
      <c r="K906" s="92">
        <f t="shared" si="2459"/>
        <v>-12</v>
      </c>
      <c r="L906" s="989">
        <f t="shared" si="2460"/>
        <v>46</v>
      </c>
      <c r="M906" s="92">
        <f t="shared" si="2460"/>
        <v>2</v>
      </c>
      <c r="N906" s="92">
        <f t="shared" si="2461"/>
        <v>-18</v>
      </c>
      <c r="O906" s="92">
        <f t="shared" si="2461"/>
        <v>0</v>
      </c>
      <c r="P906" s="92">
        <f t="shared" si="2461"/>
        <v>-36</v>
      </c>
      <c r="Q906" s="989">
        <f t="shared" si="2462"/>
        <v>-52</v>
      </c>
      <c r="R906" s="92">
        <f t="shared" si="2462"/>
        <v>-19</v>
      </c>
      <c r="S906" s="92">
        <f t="shared" si="2463"/>
        <v>-20</v>
      </c>
      <c r="T906" s="92">
        <f t="shared" si="2463"/>
        <v>-21</v>
      </c>
      <c r="U906" s="92">
        <f t="shared" si="2463"/>
        <v>9</v>
      </c>
      <c r="V906" s="989">
        <f t="shared" si="2464"/>
        <v>-51</v>
      </c>
      <c r="W906" s="92">
        <f t="shared" si="2464"/>
        <v>-10</v>
      </c>
      <c r="X906" s="92">
        <f t="shared" si="2465"/>
        <v>117</v>
      </c>
      <c r="Y906" s="92">
        <f t="shared" si="2465"/>
        <v>-135</v>
      </c>
      <c r="Z906" s="92">
        <f t="shared" si="2465"/>
        <v>-2</v>
      </c>
      <c r="AA906" s="989">
        <f t="shared" si="2466"/>
        <v>-30</v>
      </c>
      <c r="AB906" s="92">
        <f t="shared" si="2466"/>
        <v>-27</v>
      </c>
      <c r="AC906" s="92">
        <f t="shared" si="2467"/>
        <v>-8</v>
      </c>
      <c r="AD906" s="92">
        <f t="shared" si="2467"/>
        <v>7</v>
      </c>
      <c r="AE906" s="92">
        <f t="shared" si="2467"/>
        <v>-70</v>
      </c>
      <c r="AF906" s="989">
        <f t="shared" si="2468"/>
        <v>-98</v>
      </c>
      <c r="AG906" s="92">
        <f t="shared" si="2468"/>
        <v>47</v>
      </c>
      <c r="AH906" s="92">
        <f t="shared" si="2469"/>
        <v>19</v>
      </c>
      <c r="AI906" s="92">
        <f t="shared" si="2469"/>
        <v>0</v>
      </c>
      <c r="AJ906" s="92">
        <f t="shared" si="2469"/>
        <v>-24</v>
      </c>
      <c r="AK906" s="989">
        <f t="shared" si="2470"/>
        <v>42</v>
      </c>
      <c r="AL906" s="92">
        <f t="shared" si="2470"/>
        <v>37</v>
      </c>
      <c r="AM906" s="92">
        <f t="shared" si="2471"/>
        <v>-37</v>
      </c>
      <c r="AN906" s="92">
        <f t="shared" si="2471"/>
        <v>0</v>
      </c>
      <c r="AO906" s="92">
        <f t="shared" si="2471"/>
        <v>0</v>
      </c>
      <c r="AP906" s="989">
        <f t="shared" si="2472"/>
        <v>0</v>
      </c>
      <c r="AQ906" s="92">
        <f t="shared" si="2472"/>
        <v>744</v>
      </c>
      <c r="AR906" s="92">
        <f t="shared" si="2473"/>
        <v>-740</v>
      </c>
      <c r="AS906" s="92">
        <f t="shared" si="2473"/>
        <v>0</v>
      </c>
      <c r="AT906" s="92">
        <f t="shared" si="2473"/>
        <v>-4</v>
      </c>
      <c r="AU906" s="989">
        <f t="shared" si="2474"/>
        <v>0</v>
      </c>
      <c r="AV906" s="92">
        <f t="shared" si="2474"/>
        <v>114</v>
      </c>
      <c r="AW906" s="92">
        <f t="shared" si="2475"/>
        <v>-114</v>
      </c>
      <c r="AX906" s="92">
        <f t="shared" si="2475"/>
        <v>0</v>
      </c>
      <c r="AY906" s="92">
        <f t="shared" si="2475"/>
        <v>0</v>
      </c>
      <c r="AZ906" s="989">
        <f t="shared" si="2499" ref="AZ906">AZ834</f>
        <v>0</v>
      </c>
      <c r="BA906" s="92">
        <f t="shared" si="2477"/>
        <v>-2675</v>
      </c>
      <c r="BB906" s="92">
        <f t="shared" si="2478"/>
        <v>2675</v>
      </c>
      <c r="BC906" s="92">
        <f t="shared" si="2478"/>
        <v>0</v>
      </c>
      <c r="BD906" s="92">
        <f t="shared" si="2479"/>
        <v>0</v>
      </c>
      <c r="BE906" s="989">
        <f t="shared" si="2480"/>
        <v>0</v>
      </c>
      <c r="BF906" s="92">
        <f t="shared" si="2480"/>
        <v>966</v>
      </c>
      <c r="BG906" s="92">
        <f t="shared" si="2481"/>
        <v>-902</v>
      </c>
      <c r="BH906" s="464">
        <f t="shared" si="2482"/>
        <v>-64</v>
      </c>
      <c r="BI906" s="92"/>
      <c r="BJ906" s="989">
        <f t="shared" si="2483"/>
        <v>0</v>
      </c>
      <c r="BK906" s="92"/>
      <c r="BL906" s="92"/>
      <c r="BM906" s="92"/>
      <c r="BN906" s="92"/>
      <c r="BO906" s="989">
        <f t="shared" si="2484"/>
        <v>0</v>
      </c>
      <c r="BP906" s="989"/>
      <c r="BQ906" s="989"/>
      <c r="BR906" s="989"/>
      <c r="BS906" s="84"/>
    </row>
    <row r="907" spans="1:71" s="85" customFormat="1" ht="15">
      <c r="A907" s="82" t="str">
        <f t="shared" si="2457"/>
        <v>Purchases of property and equipment, net</v>
      </c>
      <c r="B907" s="92"/>
      <c r="C907" s="989">
        <f t="shared" si="2494"/>
        <v>-189</v>
      </c>
      <c r="D907" s="989">
        <f t="shared" si="2494"/>
        <v>-162</v>
      </c>
      <c r="E907" s="989">
        <f t="shared" si="2494"/>
        <v>-246</v>
      </c>
      <c r="F907" s="989">
        <f t="shared" si="2494"/>
        <v>-285</v>
      </c>
      <c r="G907" s="989">
        <f t="shared" si="2494"/>
        <v>-207</v>
      </c>
      <c r="H907" s="92">
        <f t="shared" si="2494"/>
        <v>-55</v>
      </c>
      <c r="I907" s="92">
        <f t="shared" si="2459"/>
        <v>-69</v>
      </c>
      <c r="J907" s="92">
        <f t="shared" si="2459"/>
        <v>-83</v>
      </c>
      <c r="K907" s="92">
        <f t="shared" si="2459"/>
        <v>-81</v>
      </c>
      <c r="L907" s="989">
        <f t="shared" si="2460"/>
        <v>-288</v>
      </c>
      <c r="M907" s="92">
        <f t="shared" si="2460"/>
        <v>-59</v>
      </c>
      <c r="N907" s="92">
        <f t="shared" si="2461"/>
        <v>-74</v>
      </c>
      <c r="O907" s="92">
        <f t="shared" si="2461"/>
        <v>-86</v>
      </c>
      <c r="P907" s="92">
        <f t="shared" si="2461"/>
        <v>-84</v>
      </c>
      <c r="Q907" s="989">
        <f t="shared" si="2462"/>
        <v>-303</v>
      </c>
      <c r="R907" s="92">
        <f t="shared" si="2462"/>
        <v>-52</v>
      </c>
      <c r="S907" s="92">
        <f t="shared" si="2463"/>
        <v>-68</v>
      </c>
      <c r="T907" s="92">
        <f t="shared" si="2463"/>
        <v>-70</v>
      </c>
      <c r="U907" s="92">
        <f t="shared" si="2463"/>
        <v>-123</v>
      </c>
      <c r="V907" s="989">
        <f t="shared" si="2464"/>
        <v>-313</v>
      </c>
      <c r="W907" s="92">
        <f t="shared" si="2464"/>
        <v>-74</v>
      </c>
      <c r="X907" s="92">
        <f t="shared" si="2465"/>
        <v>-72</v>
      </c>
      <c r="Y907" s="92">
        <f t="shared" si="2465"/>
        <v>-70</v>
      </c>
      <c r="Z907" s="92">
        <f t="shared" si="2465"/>
        <v>-83</v>
      </c>
      <c r="AA907" s="989">
        <f t="shared" si="2466"/>
        <v>-299</v>
      </c>
      <c r="AB907" s="92">
        <f t="shared" si="2466"/>
        <v>-62</v>
      </c>
      <c r="AC907" s="92">
        <f t="shared" si="2467"/>
        <v>-66</v>
      </c>
      <c r="AD907" s="92">
        <f t="shared" si="2467"/>
        <v>-67</v>
      </c>
      <c r="AE907" s="92">
        <f t="shared" si="2467"/>
        <v>-82</v>
      </c>
      <c r="AF907" s="989">
        <f t="shared" si="2468"/>
        <v>-277</v>
      </c>
      <c r="AG907" s="92">
        <f t="shared" si="2468"/>
        <v>-80</v>
      </c>
      <c r="AH907" s="92">
        <f t="shared" si="2469"/>
        <v>-93</v>
      </c>
      <c r="AI907" s="92">
        <f t="shared" si="2469"/>
        <v>-120</v>
      </c>
      <c r="AJ907" s="92">
        <f t="shared" si="2469"/>
        <v>-140</v>
      </c>
      <c r="AK907" s="989">
        <f t="shared" si="2470"/>
        <v>-433</v>
      </c>
      <c r="AL907" s="92">
        <f t="shared" si="2470"/>
        <v>-65</v>
      </c>
      <c r="AM907" s="92">
        <f t="shared" si="2471"/>
        <v>-101</v>
      </c>
      <c r="AN907" s="92">
        <f t="shared" si="2471"/>
        <v>-69</v>
      </c>
      <c r="AO907" s="92">
        <f t="shared" si="2471"/>
        <v>-73</v>
      </c>
      <c r="AP907" s="989">
        <f t="shared" si="2472"/>
        <v>-308</v>
      </c>
      <c r="AQ907" s="92">
        <f t="shared" si="2472"/>
        <v>-61</v>
      </c>
      <c r="AR907" s="92">
        <f t="shared" si="2473"/>
        <v>-136</v>
      </c>
      <c r="AS907" s="92">
        <f t="shared" si="2473"/>
        <v>-89</v>
      </c>
      <c r="AT907" s="92">
        <f t="shared" si="2473"/>
        <v>-59</v>
      </c>
      <c r="AU907" s="989">
        <f t="shared" si="2474"/>
        <v>-345</v>
      </c>
      <c r="AV907" s="92">
        <f t="shared" si="2474"/>
        <v>-130</v>
      </c>
      <c r="AW907" s="92">
        <f t="shared" si="2475"/>
        <v>-98</v>
      </c>
      <c r="AX907" s="92">
        <f t="shared" si="2475"/>
        <v>-124</v>
      </c>
      <c r="AY907" s="92">
        <f t="shared" si="2475"/>
        <v>-68</v>
      </c>
      <c r="AZ907" s="989">
        <f t="shared" si="2500" ref="AZ907">AZ835</f>
        <v>-420</v>
      </c>
      <c r="BA907" s="92">
        <f t="shared" si="2477"/>
        <v>-79</v>
      </c>
      <c r="BB907" s="92">
        <f t="shared" si="2478"/>
        <v>-62</v>
      </c>
      <c r="BC907" s="92">
        <f t="shared" si="2478"/>
        <v>-55</v>
      </c>
      <c r="BD907" s="92">
        <f t="shared" si="2479"/>
        <v>-71</v>
      </c>
      <c r="BE907" s="989">
        <f t="shared" si="2480"/>
        <v>-267</v>
      </c>
      <c r="BF907" s="92">
        <f t="shared" si="2480"/>
        <v>-41</v>
      </c>
      <c r="BG907" s="92">
        <f t="shared" si="2481"/>
        <v>-56</v>
      </c>
      <c r="BH907" s="464">
        <f t="shared" si="2482"/>
        <v>-63</v>
      </c>
      <c r="BI907" s="92"/>
      <c r="BJ907" s="989">
        <f t="shared" si="2483"/>
        <v>-160</v>
      </c>
      <c r="BK907" s="92"/>
      <c r="BL907" s="92"/>
      <c r="BM907" s="92"/>
      <c r="BN907" s="92"/>
      <c r="BO907" s="989">
        <f t="shared" si="2484"/>
        <v>0</v>
      </c>
      <c r="BP907" s="989"/>
      <c r="BQ907" s="989"/>
      <c r="BR907" s="989"/>
      <c r="BS907" s="84"/>
    </row>
    <row r="908" spans="1:71" s="85" customFormat="1" ht="15">
      <c r="A908" s="82" t="str">
        <f t="shared" si="2457"/>
        <v>Proceeds from sale of property and equipment</v>
      </c>
      <c r="B908" s="92"/>
      <c r="C908" s="989">
        <f t="shared" si="2494"/>
        <v>0</v>
      </c>
      <c r="D908" s="989">
        <f t="shared" si="2494"/>
        <v>0</v>
      </c>
      <c r="E908" s="989">
        <f t="shared" si="2494"/>
        <v>0</v>
      </c>
      <c r="F908" s="989">
        <f t="shared" si="2494"/>
        <v>0</v>
      </c>
      <c r="G908" s="989">
        <f t="shared" si="2494"/>
        <v>0</v>
      </c>
      <c r="H908" s="92">
        <f t="shared" si="2494"/>
        <v>0</v>
      </c>
      <c r="I908" s="92">
        <f t="shared" si="2459"/>
        <v>0</v>
      </c>
      <c r="J908" s="92">
        <f t="shared" si="2459"/>
        <v>0</v>
      </c>
      <c r="K908" s="92">
        <f t="shared" si="2459"/>
        <v>0</v>
      </c>
      <c r="L908" s="989">
        <f t="shared" si="2460"/>
        <v>0</v>
      </c>
      <c r="M908" s="92">
        <f t="shared" si="2460"/>
        <v>0</v>
      </c>
      <c r="N908" s="92">
        <f t="shared" si="2461"/>
        <v>0</v>
      </c>
      <c r="O908" s="92">
        <f t="shared" si="2461"/>
        <v>0</v>
      </c>
      <c r="P908" s="92">
        <f t="shared" si="2461"/>
        <v>0</v>
      </c>
      <c r="Q908" s="989">
        <f t="shared" si="2462"/>
        <v>0</v>
      </c>
      <c r="R908" s="92">
        <f t="shared" si="2462"/>
        <v>0</v>
      </c>
      <c r="S908" s="92">
        <f t="shared" si="2463"/>
        <v>0</v>
      </c>
      <c r="T908" s="92">
        <f t="shared" si="2463"/>
        <v>0</v>
      </c>
      <c r="U908" s="92">
        <f t="shared" si="2463"/>
        <v>0</v>
      </c>
      <c r="V908" s="989">
        <f t="shared" si="2464"/>
        <v>0</v>
      </c>
      <c r="W908" s="92">
        <f t="shared" si="2464"/>
        <v>0</v>
      </c>
      <c r="X908" s="92">
        <f t="shared" si="2465"/>
        <v>0</v>
      </c>
      <c r="Y908" s="92">
        <f t="shared" si="2465"/>
        <v>0</v>
      </c>
      <c r="Z908" s="92">
        <f t="shared" si="2465"/>
        <v>0</v>
      </c>
      <c r="AA908" s="989">
        <f t="shared" si="2466"/>
        <v>0</v>
      </c>
      <c r="AB908" s="92">
        <f t="shared" si="2466"/>
        <v>0</v>
      </c>
      <c r="AC908" s="92">
        <f t="shared" si="2467"/>
        <v>0</v>
      </c>
      <c r="AD908" s="92">
        <f t="shared" si="2467"/>
        <v>0</v>
      </c>
      <c r="AE908" s="92">
        <f t="shared" si="2467"/>
        <v>0</v>
      </c>
      <c r="AF908" s="989">
        <f t="shared" si="2468"/>
        <v>0</v>
      </c>
      <c r="AG908" s="92">
        <f t="shared" si="2468"/>
        <v>0</v>
      </c>
      <c r="AH908" s="92">
        <f t="shared" si="2469"/>
        <v>0</v>
      </c>
      <c r="AI908" s="92">
        <f t="shared" si="2469"/>
        <v>0</v>
      </c>
      <c r="AJ908" s="92">
        <f t="shared" si="2469"/>
        <v>0</v>
      </c>
      <c r="AK908" s="989">
        <f t="shared" si="2470"/>
        <v>0</v>
      </c>
      <c r="AL908" s="92">
        <f t="shared" si="2470"/>
        <v>0</v>
      </c>
      <c r="AM908" s="92">
        <f t="shared" si="2471"/>
        <v>0</v>
      </c>
      <c r="AN908" s="92">
        <f t="shared" si="2471"/>
        <v>0</v>
      </c>
      <c r="AO908" s="92">
        <f t="shared" si="2471"/>
        <v>0</v>
      </c>
      <c r="AP908" s="989">
        <f t="shared" si="2472"/>
        <v>0</v>
      </c>
      <c r="AQ908" s="92">
        <f t="shared" si="2472"/>
        <v>0</v>
      </c>
      <c r="AR908" s="92">
        <f t="shared" si="2473"/>
        <v>0</v>
      </c>
      <c r="AS908" s="92">
        <f t="shared" si="2473"/>
        <v>0</v>
      </c>
      <c r="AT908" s="92">
        <f t="shared" si="2473"/>
        <v>0</v>
      </c>
      <c r="AU908" s="989">
        <f t="shared" si="2474"/>
        <v>0</v>
      </c>
      <c r="AV908" s="92">
        <f t="shared" si="2474"/>
        <v>0</v>
      </c>
      <c r="AW908" s="92">
        <f t="shared" si="2475"/>
        <v>0</v>
      </c>
      <c r="AX908" s="92">
        <f t="shared" si="2475"/>
        <v>0</v>
      </c>
      <c r="AY908" s="92">
        <f t="shared" si="2475"/>
        <v>209</v>
      </c>
      <c r="AZ908" s="989">
        <f>AZ836</f>
        <v>209</v>
      </c>
      <c r="BA908" s="92">
        <f t="shared" si="2477"/>
        <v>0</v>
      </c>
      <c r="BB908" s="92">
        <f t="shared" si="2478"/>
        <v>19</v>
      </c>
      <c r="BC908" s="92">
        <f t="shared" si="2478"/>
        <v>0</v>
      </c>
      <c r="BD908" s="92">
        <f t="shared" si="2479"/>
        <v>8</v>
      </c>
      <c r="BE908" s="989">
        <f>BE836</f>
        <v>27</v>
      </c>
      <c r="BF908" s="92">
        <f t="shared" si="2501" ref="BF908:BF910">BF836</f>
        <v>18</v>
      </c>
      <c r="BG908" s="92">
        <f t="shared" si="2481"/>
        <v>0</v>
      </c>
      <c r="BH908" s="464">
        <f t="shared" si="2482"/>
        <v>0</v>
      </c>
      <c r="BI908" s="92"/>
      <c r="BJ908" s="989">
        <f t="shared" si="2483"/>
        <v>18</v>
      </c>
      <c r="BK908" s="92"/>
      <c r="BL908" s="92"/>
      <c r="BM908" s="92"/>
      <c r="BN908" s="92"/>
      <c r="BO908" s="989">
        <f t="shared" si="2484"/>
        <v>0</v>
      </c>
      <c r="BP908" s="989"/>
      <c r="BQ908" s="989"/>
      <c r="BR908" s="989"/>
      <c r="BS908" s="84"/>
    </row>
    <row r="909" spans="1:71" s="85" customFormat="1" ht="15">
      <c r="A909" s="82" t="str">
        <f t="shared" si="2457"/>
        <v>Proceeds from disposition of operations, net of cash transferred</v>
      </c>
      <c r="B909" s="92"/>
      <c r="C909" s="989">
        <f t="shared" si="2494"/>
        <v>0</v>
      </c>
      <c r="D909" s="989">
        <f t="shared" si="2494"/>
        <v>0</v>
      </c>
      <c r="E909" s="989">
        <f t="shared" si="2494"/>
        <v>0</v>
      </c>
      <c r="F909" s="989">
        <f t="shared" si="2494"/>
        <v>0</v>
      </c>
      <c r="G909" s="989">
        <f t="shared" si="2494"/>
        <v>0</v>
      </c>
      <c r="H909" s="92">
        <f t="shared" si="2494"/>
        <v>0</v>
      </c>
      <c r="I909" s="92">
        <f t="shared" si="2459"/>
        <v>0</v>
      </c>
      <c r="J909" s="92">
        <f t="shared" si="2459"/>
        <v>0</v>
      </c>
      <c r="K909" s="92">
        <f t="shared" si="2459"/>
        <v>0</v>
      </c>
      <c r="L909" s="989">
        <f t="shared" si="2460"/>
        <v>0</v>
      </c>
      <c r="M909" s="92">
        <f t="shared" si="2460"/>
        <v>0</v>
      </c>
      <c r="N909" s="92">
        <f t="shared" si="2461"/>
        <v>0</v>
      </c>
      <c r="O909" s="92">
        <f t="shared" si="2461"/>
        <v>0</v>
      </c>
      <c r="P909" s="92">
        <f t="shared" si="2461"/>
        <v>0</v>
      </c>
      <c r="Q909" s="989">
        <f t="shared" si="2462"/>
        <v>0</v>
      </c>
      <c r="R909" s="92">
        <f t="shared" si="2462"/>
        <v>0</v>
      </c>
      <c r="S909" s="92">
        <f t="shared" si="2463"/>
        <v>0</v>
      </c>
      <c r="T909" s="92">
        <f t="shared" si="2463"/>
        <v>0</v>
      </c>
      <c r="U909" s="92">
        <f t="shared" si="2463"/>
        <v>0</v>
      </c>
      <c r="V909" s="989">
        <f t="shared" si="2464"/>
        <v>0</v>
      </c>
      <c r="W909" s="92">
        <f t="shared" si="2464"/>
        <v>0</v>
      </c>
      <c r="X909" s="92">
        <f t="shared" si="2465"/>
        <v>0</v>
      </c>
      <c r="Y909" s="92">
        <f t="shared" si="2465"/>
        <v>0</v>
      </c>
      <c r="Z909" s="92">
        <f t="shared" si="2465"/>
        <v>0</v>
      </c>
      <c r="AA909" s="989">
        <f t="shared" si="2466"/>
        <v>0</v>
      </c>
      <c r="AB909" s="92">
        <f t="shared" si="2466"/>
        <v>0</v>
      </c>
      <c r="AC909" s="92">
        <f t="shared" si="2467"/>
        <v>0</v>
      </c>
      <c r="AD909" s="92">
        <f t="shared" si="2467"/>
        <v>0</v>
      </c>
      <c r="AE909" s="92">
        <f t="shared" si="2467"/>
        <v>0</v>
      </c>
      <c r="AF909" s="989">
        <f t="shared" si="2468"/>
        <v>0</v>
      </c>
      <c r="AG909" s="92">
        <f t="shared" si="2468"/>
        <v>0</v>
      </c>
      <c r="AH909" s="92">
        <f t="shared" si="2469"/>
        <v>0</v>
      </c>
      <c r="AI909" s="92">
        <f t="shared" si="2469"/>
        <v>0</v>
      </c>
      <c r="AJ909" s="92">
        <f t="shared" si="2469"/>
        <v>0</v>
      </c>
      <c r="AK909" s="989">
        <f t="shared" si="2470"/>
        <v>0</v>
      </c>
      <c r="AL909" s="92">
        <f t="shared" si="2470"/>
        <v>0</v>
      </c>
      <c r="AM909" s="92">
        <f t="shared" si="2471"/>
        <v>0</v>
      </c>
      <c r="AN909" s="92">
        <f t="shared" si="2471"/>
        <v>0</v>
      </c>
      <c r="AO909" s="92">
        <f t="shared" si="2471"/>
        <v>0</v>
      </c>
      <c r="AP909" s="989">
        <f t="shared" si="2472"/>
        <v>0</v>
      </c>
      <c r="AQ909" s="92">
        <f t="shared" si="2472"/>
        <v>0</v>
      </c>
      <c r="AR909" s="92">
        <f t="shared" si="2473"/>
        <v>0</v>
      </c>
      <c r="AS909" s="92">
        <f t="shared" si="2473"/>
        <v>0</v>
      </c>
      <c r="AT909" s="92">
        <f t="shared" si="2473"/>
        <v>2058</v>
      </c>
      <c r="AU909" s="989">
        <f t="shared" si="2474"/>
        <v>2058</v>
      </c>
      <c r="AV909" s="92">
        <f t="shared" si="2474"/>
        <v>0</v>
      </c>
      <c r="AW909" s="92">
        <f t="shared" si="2475"/>
        <v>0</v>
      </c>
      <c r="AX909" s="92">
        <f t="shared" si="2475"/>
        <v>0</v>
      </c>
      <c r="AY909" s="92">
        <f t="shared" si="2475"/>
        <v>0</v>
      </c>
      <c r="AZ909" s="989">
        <f t="shared" si="2502" ref="AZ909">AZ837</f>
        <v>0</v>
      </c>
      <c r="BA909" s="92">
        <f t="shared" si="2477"/>
        <v>0</v>
      </c>
      <c r="BB909" s="92">
        <f t="shared" si="2478"/>
        <v>0</v>
      </c>
      <c r="BC909" s="92">
        <f t="shared" si="2478"/>
        <v>0</v>
      </c>
      <c r="BD909" s="92">
        <f t="shared" si="2479"/>
        <v>0</v>
      </c>
      <c r="BE909" s="989">
        <f t="shared" si="2503" ref="BE909:BE910">BE837</f>
        <v>0</v>
      </c>
      <c r="BF909" s="92">
        <f t="shared" si="2501"/>
        <v>0</v>
      </c>
      <c r="BG909" s="92">
        <f t="shared" si="2481"/>
        <v>0</v>
      </c>
      <c r="BH909" s="464">
        <f t="shared" si="2482"/>
        <v>0</v>
      </c>
      <c r="BI909" s="92"/>
      <c r="BJ909" s="989">
        <f t="shared" si="2483"/>
        <v>0</v>
      </c>
      <c r="BK909" s="92"/>
      <c r="BL909" s="92"/>
      <c r="BM909" s="92"/>
      <c r="BN909" s="92"/>
      <c r="BO909" s="989">
        <f t="shared" si="2484"/>
        <v>0</v>
      </c>
      <c r="BP909" s="989"/>
      <c r="BQ909" s="989"/>
      <c r="BR909" s="989"/>
      <c r="BS909" s="84"/>
    </row>
    <row r="910" spans="1:71" s="85" customFormat="1" ht="15">
      <c r="A910" s="349" t="str">
        <f t="shared" si="2457"/>
        <v>Acquisition of operations</v>
      </c>
      <c r="B910" s="115"/>
      <c r="C910" s="995">
        <f t="shared" si="2494"/>
        <v>12</v>
      </c>
      <c r="D910" s="995">
        <f t="shared" si="2494"/>
        <v>7</v>
      </c>
      <c r="E910" s="995">
        <f t="shared" si="2494"/>
        <v>-916</v>
      </c>
      <c r="F910" s="995">
        <f t="shared" si="2494"/>
        <v>13</v>
      </c>
      <c r="G910" s="995">
        <f t="shared" si="2494"/>
        <v>-24</v>
      </c>
      <c r="H910" s="115">
        <f t="shared" si="2494"/>
        <v>-2</v>
      </c>
      <c r="I910" s="115">
        <f t="shared" si="2459"/>
        <v>380</v>
      </c>
      <c r="J910" s="115">
        <f t="shared" si="2459"/>
        <v>0</v>
      </c>
      <c r="K910" s="115">
        <f t="shared" si="2459"/>
        <v>0</v>
      </c>
      <c r="L910" s="995">
        <f t="shared" si="2460"/>
        <v>378</v>
      </c>
      <c r="M910" s="115">
        <f t="shared" si="2460"/>
        <v>0</v>
      </c>
      <c r="N910" s="115">
        <f t="shared" si="2461"/>
        <v>0</v>
      </c>
      <c r="O910" s="115">
        <f t="shared" si="2461"/>
        <v>0</v>
      </c>
      <c r="P910" s="115">
        <f t="shared" si="2461"/>
        <v>0</v>
      </c>
      <c r="Q910" s="995">
        <f t="shared" si="2462"/>
        <v>0</v>
      </c>
      <c r="R910" s="115">
        <f t="shared" si="2462"/>
        <v>0</v>
      </c>
      <c r="S910" s="115">
        <f t="shared" si="2463"/>
        <v>0</v>
      </c>
      <c r="T910" s="115">
        <f t="shared" si="2463"/>
        <v>0</v>
      </c>
      <c r="U910" s="115">
        <f t="shared" si="2463"/>
        <v>0</v>
      </c>
      <c r="V910" s="995">
        <f t="shared" si="2464"/>
        <v>0</v>
      </c>
      <c r="W910" s="115">
        <f t="shared" si="2464"/>
        <v>-1356</v>
      </c>
      <c r="X910" s="115">
        <f t="shared" si="2465"/>
        <v>0</v>
      </c>
      <c r="Y910" s="115">
        <f t="shared" si="2465"/>
        <v>0</v>
      </c>
      <c r="Z910" s="115">
        <f t="shared" si="2465"/>
        <v>0</v>
      </c>
      <c r="AA910" s="995">
        <f t="shared" si="2466"/>
        <v>-1356</v>
      </c>
      <c r="AB910" s="115">
        <f t="shared" si="2466"/>
        <v>-5</v>
      </c>
      <c r="AC910" s="115">
        <f t="shared" si="2467"/>
        <v>-5</v>
      </c>
      <c r="AD910" s="115">
        <f t="shared" si="2467"/>
        <v>0</v>
      </c>
      <c r="AE910" s="115">
        <f t="shared" si="2467"/>
        <v>-548</v>
      </c>
      <c r="AF910" s="995">
        <f t="shared" si="2468"/>
        <v>-558</v>
      </c>
      <c r="AG910" s="115">
        <f t="shared" si="2468"/>
        <v>-18</v>
      </c>
      <c r="AH910" s="115">
        <f t="shared" si="2469"/>
        <v>0</v>
      </c>
      <c r="AI910" s="115">
        <f t="shared" si="2469"/>
        <v>0</v>
      </c>
      <c r="AJ910" s="115">
        <f t="shared" si="2469"/>
        <v>0</v>
      </c>
      <c r="AK910" s="995">
        <f t="shared" si="2470"/>
        <v>-18</v>
      </c>
      <c r="AL910" s="115">
        <f t="shared" si="2470"/>
        <v>0</v>
      </c>
      <c r="AM910" s="115">
        <f t="shared" si="2471"/>
        <v>1</v>
      </c>
      <c r="AN910" s="115">
        <f t="shared" si="2471"/>
        <v>0</v>
      </c>
      <c r="AO910" s="115">
        <f t="shared" si="2471"/>
        <v>0</v>
      </c>
      <c r="AP910" s="995">
        <f t="shared" si="2472"/>
        <v>1</v>
      </c>
      <c r="AQ910" s="115">
        <f t="shared" si="2472"/>
        <v>-3480</v>
      </c>
      <c r="AR910" s="115">
        <f t="shared" si="2473"/>
        <v>-1</v>
      </c>
      <c r="AS910" s="115">
        <f t="shared" si="2473"/>
        <v>0</v>
      </c>
      <c r="AT910" s="115">
        <f t="shared" si="2473"/>
        <v>-112</v>
      </c>
      <c r="AU910" s="995">
        <f t="shared" si="2474"/>
        <v>-3593</v>
      </c>
      <c r="AV910" s="115">
        <f t="shared" si="2474"/>
        <v>0</v>
      </c>
      <c r="AW910" s="115">
        <f t="shared" si="2475"/>
        <v>0</v>
      </c>
      <c r="AX910" s="115">
        <f t="shared" si="2475"/>
        <v>0</v>
      </c>
      <c r="AY910" s="115">
        <f t="shared" si="2475"/>
        <v>0</v>
      </c>
      <c r="AZ910" s="995">
        <f t="shared" si="2504" ref="AZ910">AZ838</f>
        <v>0</v>
      </c>
      <c r="BA910" s="115">
        <f t="shared" si="2477"/>
        <v>0</v>
      </c>
      <c r="BB910" s="115">
        <f t="shared" si="2478"/>
        <v>0</v>
      </c>
      <c r="BC910" s="115">
        <f t="shared" si="2478"/>
        <v>0</v>
      </c>
      <c r="BD910" s="115">
        <f t="shared" si="2479"/>
        <v>0</v>
      </c>
      <c r="BE910" s="995">
        <f t="shared" si="2503"/>
        <v>0</v>
      </c>
      <c r="BF910" s="115">
        <f t="shared" si="2501"/>
        <v>0</v>
      </c>
      <c r="BG910" s="115">
        <f t="shared" si="2481"/>
        <v>0</v>
      </c>
      <c r="BH910" s="641">
        <f t="shared" si="2482"/>
        <v>0</v>
      </c>
      <c r="BI910" s="115"/>
      <c r="BJ910" s="995">
        <f t="shared" si="2483"/>
        <v>0</v>
      </c>
      <c r="BK910" s="115"/>
      <c r="BL910" s="115"/>
      <c r="BM910" s="115"/>
      <c r="BN910" s="115"/>
      <c r="BO910" s="995">
        <f t="shared" si="2484"/>
        <v>0</v>
      </c>
      <c r="BP910" s="995"/>
      <c r="BQ910" s="995"/>
      <c r="BR910" s="995"/>
      <c r="BS910" s="84"/>
    </row>
    <row r="911" spans="1:71" s="131" customFormat="1" ht="15">
      <c r="A911" s="228" t="str">
        <f t="shared" si="2457"/>
        <v>Net CFI</v>
      </c>
      <c r="B911" s="506"/>
      <c r="C911" s="997">
        <f t="shared" si="2505" ref="C911:AK911">SUM(C892:C910)</f>
        <v>3440</v>
      </c>
      <c r="D911" s="997">
        <f t="shared" si="2505"/>
        <v>2332</v>
      </c>
      <c r="E911" s="997">
        <f t="shared" si="2505"/>
        <v>6161</v>
      </c>
      <c r="F911" s="997">
        <f t="shared" si="2505"/>
        <v>1581</v>
      </c>
      <c r="G911" s="997">
        <f t="shared" si="2505"/>
        <v>1580</v>
      </c>
      <c r="H911" s="90">
        <f t="shared" si="2505"/>
        <v>1376</v>
      </c>
      <c r="I911" s="90">
        <f t="shared" si="2505"/>
        <v>-355</v>
      </c>
      <c r="J911" s="90">
        <f t="shared" si="2505"/>
        <v>963</v>
      </c>
      <c r="K911" s="90">
        <f t="shared" si="2505"/>
        <v>-363</v>
      </c>
      <c r="L911" s="997">
        <f t="shared" si="2505"/>
        <v>1621</v>
      </c>
      <c r="M911" s="90">
        <f t="shared" si="2505"/>
        <v>1073</v>
      </c>
      <c r="N911" s="90">
        <f t="shared" si="2505"/>
        <v>-19</v>
      </c>
      <c r="O911" s="90">
        <f t="shared" si="2505"/>
        <v>41</v>
      </c>
      <c r="P911" s="90">
        <f t="shared" si="2505"/>
        <v>-353</v>
      </c>
      <c r="Q911" s="997">
        <f t="shared" si="2505"/>
        <v>742</v>
      </c>
      <c r="R911" s="90">
        <f t="shared" si="2505"/>
        <v>96</v>
      </c>
      <c r="S911" s="90">
        <f t="shared" si="2505"/>
        <v>80</v>
      </c>
      <c r="T911" s="90">
        <f t="shared" si="2505"/>
        <v>-834</v>
      </c>
      <c r="U911" s="90">
        <f t="shared" si="2505"/>
        <v>-1868</v>
      </c>
      <c r="V911" s="997">
        <f t="shared" si="2505"/>
        <v>-2526</v>
      </c>
      <c r="W911" s="90">
        <f t="shared" si="2505"/>
        <v>-280</v>
      </c>
      <c r="X911" s="90">
        <f t="shared" si="2505"/>
        <v>337</v>
      </c>
      <c r="Y911" s="90">
        <f t="shared" si="2505"/>
        <v>-1127</v>
      </c>
      <c r="Z911" s="90">
        <f t="shared" si="2505"/>
        <v>-140</v>
      </c>
      <c r="AA911" s="997">
        <f t="shared" si="2505"/>
        <v>-1210</v>
      </c>
      <c r="AB911" s="90">
        <f t="shared" si="2505"/>
        <v>-1251</v>
      </c>
      <c r="AC911" s="90">
        <f t="shared" si="2505"/>
        <v>-60</v>
      </c>
      <c r="AD911" s="90">
        <f t="shared" si="2505"/>
        <v>-1145</v>
      </c>
      <c r="AE911" s="90">
        <f t="shared" si="2505"/>
        <v>737</v>
      </c>
      <c r="AF911" s="997">
        <f t="shared" si="2505"/>
        <v>-1719</v>
      </c>
      <c r="AG911" s="90">
        <f t="shared" si="2505"/>
        <v>-263</v>
      </c>
      <c r="AH911" s="90">
        <f t="shared" si="2505"/>
        <v>-879</v>
      </c>
      <c r="AI911" s="90">
        <f t="shared" si="2505"/>
        <v>-2093</v>
      </c>
      <c r="AJ911" s="90">
        <f t="shared" si="2505"/>
        <v>428</v>
      </c>
      <c r="AK911" s="997">
        <f t="shared" si="2505"/>
        <v>-2807</v>
      </c>
      <c r="AL911" s="90">
        <f>SUM(AL892:AL910)</f>
        <v>68</v>
      </c>
      <c r="AM911" s="90">
        <f>SUM(AM892:AM910)</f>
        <v>-1026</v>
      </c>
      <c r="AN911" s="90">
        <f>SUM(AN892:AN910)</f>
        <v>-285</v>
      </c>
      <c r="AO911" s="90">
        <f t="shared" si="2506" ref="AO911:AP911">SUM(AO892:AO910)</f>
        <v>-2198</v>
      </c>
      <c r="AP911" s="997">
        <f t="shared" si="2506"/>
        <v>-3441</v>
      </c>
      <c r="AQ911" s="90">
        <f>SUM(AQ892:AQ910)</f>
        <v>513</v>
      </c>
      <c r="AR911" s="90">
        <f>SUM(AR892:AR910)</f>
        <v>-670</v>
      </c>
      <c r="AS911" s="90">
        <f>SUM(AS892:AS910)</f>
        <v>446</v>
      </c>
      <c r="AT911" s="90">
        <f t="shared" si="2507" ref="AT911:AU911">SUM(AT892:AT910)</f>
        <v>221</v>
      </c>
      <c r="AU911" s="997">
        <f t="shared" si="2507"/>
        <v>510</v>
      </c>
      <c r="AV911" s="90">
        <f t="shared" si="2508" ref="AV911:BJ911">SUM(AV892:AV910)</f>
        <v>981</v>
      </c>
      <c r="AW911" s="90">
        <f t="shared" si="2508"/>
        <v>-1119</v>
      </c>
      <c r="AX911" s="90">
        <f t="shared" si="2508"/>
        <v>-1143</v>
      </c>
      <c r="AY911" s="90">
        <f t="shared" si="2508"/>
        <v>-447</v>
      </c>
      <c r="AZ911" s="997">
        <f t="shared" si="2508"/>
        <v>-1728</v>
      </c>
      <c r="BA911" s="90">
        <f>SUM(BA892:BA910)</f>
        <v>-796</v>
      </c>
      <c r="BB911" s="90">
        <f>SUM(BB892:BB910)</f>
        <v>-253</v>
      </c>
      <c r="BC911" s="90">
        <f>SUM(BC892:BC910)</f>
        <v>-845</v>
      </c>
      <c r="BD911" s="90">
        <f t="shared" si="2509" ref="BD911:BE911">SUM(BD892:BD910)</f>
        <v>-1105</v>
      </c>
      <c r="BE911" s="997">
        <f t="shared" si="2509"/>
        <v>-2999</v>
      </c>
      <c r="BF911" s="90">
        <f>SUM(BF892:BF910)</f>
        <v>-1372</v>
      </c>
      <c r="BG911" s="90">
        <f>SUM(BG892:BG910)</f>
        <v>-2524</v>
      </c>
      <c r="BH911" s="747">
        <f>SUM(BH892:BH910)</f>
        <v>-2685</v>
      </c>
      <c r="BI911" s="90">
        <f>SUM(BI892:BI910)</f>
        <v>9325.5599999999977</v>
      </c>
      <c r="BJ911" s="997">
        <f t="shared" si="2508"/>
        <v>2744.5599999999977</v>
      </c>
      <c r="BK911" s="90">
        <f t="shared" si="2510" ref="BK911:BR911">SUM(BK892:BK910)</f>
        <v>-4421.5299999999988</v>
      </c>
      <c r="BL911" s="90">
        <f t="shared" si="2510"/>
        <v>974.39999999999418</v>
      </c>
      <c r="BM911" s="90">
        <f t="shared" si="2510"/>
        <v>-4044.6399999999849</v>
      </c>
      <c r="BN911" s="90">
        <f t="shared" si="2510"/>
        <v>9510.5611999999965</v>
      </c>
      <c r="BO911" s="997">
        <f t="shared" si="2510"/>
        <v>2018.7912000000069</v>
      </c>
      <c r="BP911" s="997">
        <f t="shared" si="2510"/>
        <v>-718.37553599999956</v>
      </c>
      <c r="BQ911" s="997">
        <f t="shared" si="2510"/>
        <v>-768.48102432000451</v>
      </c>
      <c r="BR911" s="997">
        <f t="shared" si="2510"/>
        <v>-823.90477242240013</v>
      </c>
      <c r="BS911" s="101"/>
    </row>
    <row r="912" spans="1:71" s="131" customFormat="1" ht="15">
      <c r="A912" s="480"/>
      <c r="B912" s="483"/>
      <c r="C912" s="1000"/>
      <c r="D912" s="1000"/>
      <c r="E912" s="1000"/>
      <c r="F912" s="1000"/>
      <c r="G912" s="1000"/>
      <c r="H912" s="128"/>
      <c r="I912" s="128"/>
      <c r="J912" s="128"/>
      <c r="K912" s="128"/>
      <c r="L912" s="1000"/>
      <c r="M912" s="128"/>
      <c r="N912" s="128"/>
      <c r="O912" s="128"/>
      <c r="P912" s="128"/>
      <c r="Q912" s="1000"/>
      <c r="R912" s="128"/>
      <c r="S912" s="128"/>
      <c r="T912" s="128"/>
      <c r="U912" s="128"/>
      <c r="V912" s="1000"/>
      <c r="W912" s="128"/>
      <c r="X912" s="128"/>
      <c r="Y912" s="128"/>
      <c r="Z912" s="128"/>
      <c r="AA912" s="1000"/>
      <c r="AB912" s="128"/>
      <c r="AC912" s="128"/>
      <c r="AD912" s="128"/>
      <c r="AE912" s="128"/>
      <c r="AF912" s="1000"/>
      <c r="AG912" s="128"/>
      <c r="AH912" s="128"/>
      <c r="AI912" s="128"/>
      <c r="AJ912" s="128"/>
      <c r="AK912" s="1000"/>
      <c r="AL912" s="128"/>
      <c r="AM912" s="128"/>
      <c r="AN912" s="128"/>
      <c r="AO912" s="128"/>
      <c r="AP912" s="1000"/>
      <c r="AQ912" s="128"/>
      <c r="AR912" s="128"/>
      <c r="AS912" s="128"/>
      <c r="AT912" s="128"/>
      <c r="AU912" s="1000"/>
      <c r="AV912" s="128"/>
      <c r="AW912" s="128"/>
      <c r="AX912" s="128"/>
      <c r="AY912" s="128"/>
      <c r="AZ912" s="1000"/>
      <c r="BA912" s="128"/>
      <c r="BB912" s="128"/>
      <c r="BC912" s="128"/>
      <c r="BD912" s="128"/>
      <c r="BE912" s="1000"/>
      <c r="BF912" s="128"/>
      <c r="BG912" s="128"/>
      <c r="BH912" s="465"/>
      <c r="BI912" s="128"/>
      <c r="BJ912" s="1000"/>
      <c r="BK912" s="128"/>
      <c r="BL912" s="128"/>
      <c r="BM912" s="128"/>
      <c r="BN912" s="128"/>
      <c r="BO912" s="1000"/>
      <c r="BP912" s="1000"/>
      <c r="BQ912" s="1000"/>
      <c r="BR912" s="1000"/>
      <c r="BS912" s="101"/>
    </row>
    <row r="913" spans="1:71" s="131" customFormat="1" ht="15">
      <c r="A913" s="132" t="str">
        <f t="shared" si="2511" ref="A913:A927">A841</f>
        <v>CFF</v>
      </c>
      <c r="B913" s="483"/>
      <c r="C913" s="1000"/>
      <c r="D913" s="1000"/>
      <c r="E913" s="1000"/>
      <c r="F913" s="1000"/>
      <c r="G913" s="1000"/>
      <c r="H913" s="128"/>
      <c r="I913" s="128"/>
      <c r="J913" s="128"/>
      <c r="K913" s="128"/>
      <c r="L913" s="1000"/>
      <c r="M913" s="128"/>
      <c r="N913" s="128"/>
      <c r="O913" s="128"/>
      <c r="P913" s="128"/>
      <c r="Q913" s="1000"/>
      <c r="R913" s="128"/>
      <c r="S913" s="128"/>
      <c r="T913" s="128"/>
      <c r="U913" s="128"/>
      <c r="V913" s="1000"/>
      <c r="W913" s="128"/>
      <c r="X913" s="128"/>
      <c r="Y913" s="128"/>
      <c r="Z913" s="128"/>
      <c r="AA913" s="1000"/>
      <c r="AB913" s="128"/>
      <c r="AC913" s="128"/>
      <c r="AD913" s="128"/>
      <c r="AE913" s="128"/>
      <c r="AF913" s="1000"/>
      <c r="AG913" s="128"/>
      <c r="AH913" s="128"/>
      <c r="AI913" s="128"/>
      <c r="AJ913" s="128"/>
      <c r="AK913" s="1000"/>
      <c r="AL913" s="128"/>
      <c r="AM913" s="128"/>
      <c r="AN913" s="128"/>
      <c r="AO913" s="128"/>
      <c r="AP913" s="1000"/>
      <c r="AQ913" s="128"/>
      <c r="AR913" s="128"/>
      <c r="AS913" s="128"/>
      <c r="AT913" s="128"/>
      <c r="AU913" s="1000"/>
      <c r="AV913" s="128"/>
      <c r="AW913" s="128"/>
      <c r="AX913" s="128"/>
      <c r="AY913" s="128"/>
      <c r="AZ913" s="1000"/>
      <c r="BA913" s="128"/>
      <c r="BB913" s="128"/>
      <c r="BC913" s="128"/>
      <c r="BD913" s="128"/>
      <c r="BE913" s="1000"/>
      <c r="BF913" s="128"/>
      <c r="BG913" s="128"/>
      <c r="BH913" s="465"/>
      <c r="BI913" s="128"/>
      <c r="BJ913" s="1000"/>
      <c r="BK913" s="128"/>
      <c r="BL913" s="128"/>
      <c r="BM913" s="128"/>
      <c r="BN913" s="128"/>
      <c r="BO913" s="1000"/>
      <c r="BP913" s="1000"/>
      <c r="BQ913" s="1000"/>
      <c r="BR913" s="1000"/>
      <c r="BS913" s="101"/>
    </row>
    <row r="914" spans="1:71" s="85" customFormat="1" ht="15">
      <c r="A914" s="82" t="str">
        <f t="shared" si="2511"/>
        <v>Proceeds from issuance of long-term debt</v>
      </c>
      <c r="B914" s="92"/>
      <c r="C914" s="989">
        <f t="shared" si="2512" ref="C914:H926">C842</f>
        <v>1003</v>
      </c>
      <c r="D914" s="989">
        <f t="shared" si="2512"/>
        <v>0</v>
      </c>
      <c r="E914" s="989">
        <f t="shared" si="2512"/>
        <v>7</v>
      </c>
      <c r="F914" s="989">
        <f t="shared" si="2512"/>
        <v>493</v>
      </c>
      <c r="G914" s="989">
        <f t="shared" si="2512"/>
        <v>2271</v>
      </c>
      <c r="H914" s="92">
        <f t="shared" si="2512"/>
        <v>0</v>
      </c>
      <c r="I914" s="92">
        <f t="shared" si="2513" ref="I914:K926">I842-H842</f>
        <v>0</v>
      </c>
      <c r="J914" s="92">
        <f t="shared" si="2513"/>
        <v>0</v>
      </c>
      <c r="K914" s="92">
        <f t="shared" si="2513"/>
        <v>0</v>
      </c>
      <c r="L914" s="989">
        <f t="shared" si="2514" ref="L914:M926">L842</f>
        <v>0</v>
      </c>
      <c r="M914" s="92">
        <f t="shared" si="2514"/>
        <v>0</v>
      </c>
      <c r="N914" s="92">
        <f t="shared" si="2515" ref="N914:P926">N842-M842</f>
        <v>0</v>
      </c>
      <c r="O914" s="92">
        <f t="shared" si="2515"/>
        <v>0</v>
      </c>
      <c r="P914" s="92">
        <f t="shared" si="2515"/>
        <v>0</v>
      </c>
      <c r="Q914" s="989">
        <f t="shared" si="2516" ref="Q914:R926">Q842</f>
        <v>0</v>
      </c>
      <c r="R914" s="92">
        <f t="shared" si="2516"/>
        <v>0</v>
      </c>
      <c r="S914" s="92">
        <f t="shared" si="2517" ref="S914:U926">S842-R842</f>
        <v>0</v>
      </c>
      <c r="T914" s="92">
        <f t="shared" si="2517"/>
        <v>0</v>
      </c>
      <c r="U914" s="92">
        <f t="shared" si="2517"/>
        <v>1236</v>
      </c>
      <c r="V914" s="989">
        <f t="shared" si="2518" ref="V914:W926">V842</f>
        <v>1236</v>
      </c>
      <c r="W914" s="92">
        <f t="shared" si="2518"/>
        <v>0</v>
      </c>
      <c r="X914" s="92">
        <f t="shared" si="2519" ref="X914:Z926">X842-W842</f>
        <v>0</v>
      </c>
      <c r="Y914" s="92">
        <f t="shared" si="2519"/>
        <v>0</v>
      </c>
      <c r="Z914" s="92">
        <f t="shared" si="2519"/>
        <v>0</v>
      </c>
      <c r="AA914" s="989">
        <f t="shared" si="2520" ref="AA914:AB926">AA842</f>
        <v>0</v>
      </c>
      <c r="AB914" s="92">
        <f t="shared" si="2520"/>
        <v>498</v>
      </c>
      <c r="AC914" s="92">
        <f t="shared" si="2521" ref="AC914:AE926">AC842-AB842</f>
        <v>0</v>
      </c>
      <c r="AD914" s="92">
        <f t="shared" si="2521"/>
        <v>0</v>
      </c>
      <c r="AE914" s="92">
        <f t="shared" si="2521"/>
        <v>0</v>
      </c>
      <c r="AF914" s="989">
        <f t="shared" si="2522" ref="AF914:AG926">AF842</f>
        <v>498</v>
      </c>
      <c r="AG914" s="92">
        <f t="shared" si="2522"/>
        <v>0</v>
      </c>
      <c r="AH914" s="92">
        <f t="shared" si="2523" ref="AH914:AJ926">AH842-AG842</f>
        <v>492</v>
      </c>
      <c r="AI914" s="92">
        <f t="shared" si="2523"/>
        <v>-1</v>
      </c>
      <c r="AJ914" s="92">
        <f t="shared" si="2523"/>
        <v>0</v>
      </c>
      <c r="AK914" s="989">
        <f t="shared" si="2524" ref="AK914:AL926">AK842</f>
        <v>491</v>
      </c>
      <c r="AL914" s="92">
        <f t="shared" si="2524"/>
        <v>0</v>
      </c>
      <c r="AM914" s="92">
        <f t="shared" si="2525" ref="AM914:AO926">AM842-AL842</f>
        <v>0</v>
      </c>
      <c r="AN914" s="92">
        <f t="shared" si="2525"/>
        <v>0</v>
      </c>
      <c r="AO914" s="92">
        <f t="shared" si="2525"/>
        <v>1189</v>
      </c>
      <c r="AP914" s="989">
        <f t="shared" si="2526" ref="AP914:AQ926">AP842</f>
        <v>1189</v>
      </c>
      <c r="AQ914" s="92">
        <f t="shared" si="2526"/>
        <v>0</v>
      </c>
      <c r="AR914" s="92">
        <f t="shared" si="2527" ref="AR914:AT926">AR842-AQ842</f>
        <v>0</v>
      </c>
      <c r="AS914" s="92">
        <f t="shared" si="2527"/>
        <v>0</v>
      </c>
      <c r="AT914" s="92">
        <f t="shared" si="2527"/>
        <v>0</v>
      </c>
      <c r="AU914" s="989">
        <f t="shared" si="2528" ref="AU914:AV926">AU842</f>
        <v>0</v>
      </c>
      <c r="AV914" s="92">
        <f t="shared" si="2528"/>
        <v>0</v>
      </c>
      <c r="AW914" s="92">
        <f t="shared" si="2529" ref="AW914:AY926">AW842-AV842</f>
        <v>0</v>
      </c>
      <c r="AX914" s="92">
        <f t="shared" si="2529"/>
        <v>0</v>
      </c>
      <c r="AY914" s="92">
        <f t="shared" si="2529"/>
        <v>0</v>
      </c>
      <c r="AZ914" s="989">
        <f t="shared" si="2530" ref="AZ914">AZ842</f>
        <v>0</v>
      </c>
      <c r="BA914" s="92">
        <f t="shared" si="2531" ref="BA914:BA926">BA842</f>
        <v>744</v>
      </c>
      <c r="BB914" s="92">
        <f t="shared" si="2532" ref="BB914:BC926">BB842-BA842</f>
        <v>-1</v>
      </c>
      <c r="BC914" s="92">
        <f t="shared" si="2532"/>
        <v>0</v>
      </c>
      <c r="BD914" s="92">
        <f t="shared" si="2533" ref="BD914:BD926">BD842-BC842</f>
        <v>0</v>
      </c>
      <c r="BE914" s="989">
        <f t="shared" si="2534" ref="BE914:BF926">BE842</f>
        <v>743</v>
      </c>
      <c r="BF914" s="92">
        <f t="shared" si="2534"/>
        <v>0</v>
      </c>
      <c r="BG914" s="92">
        <f t="shared" si="2535" ref="BG914:BG926">BG842-BF842</f>
        <v>495</v>
      </c>
      <c r="BH914" s="464">
        <f t="shared" si="2536" ref="BH914:BH926">BH842-BG842</f>
        <v>0</v>
      </c>
      <c r="BI914" s="92">
        <f>MAX(BI763-BH763,0)</f>
        <v>0</v>
      </c>
      <c r="BJ914" s="989">
        <f t="shared" si="2537" ref="BJ914:BJ926">SUM(BF914,BG914,BH914,BI914)</f>
        <v>495</v>
      </c>
      <c r="BK914" s="92">
        <f>MAX(BK763-BJ763,0)</f>
        <v>0</v>
      </c>
      <c r="BL914" s="92">
        <f>MAX(BL763-BK763,0)</f>
        <v>0</v>
      </c>
      <c r="BM914" s="92">
        <f>MAX(BM763-BL763,0)</f>
        <v>0</v>
      </c>
      <c r="BN914" s="92">
        <f>MAX(BN763-BM763,0)</f>
        <v>0</v>
      </c>
      <c r="BO914" s="989">
        <f t="shared" si="2538" ref="BO914:BO926">SUM(BK914,BL914,BM914,BN914)</f>
        <v>0</v>
      </c>
      <c r="BP914" s="989">
        <f>MAX(BP763-BO763,0)</f>
        <v>0</v>
      </c>
      <c r="BQ914" s="989">
        <f>MAX(BQ763-BP763,0)</f>
        <v>0</v>
      </c>
      <c r="BR914" s="989">
        <f>MAX(BR763-BQ763,0)</f>
        <v>0</v>
      </c>
      <c r="BS914" s="84"/>
    </row>
    <row r="915" spans="1:71" s="85" customFormat="1" ht="15">
      <c r="A915" s="82" t="str">
        <f t="shared" si="2511"/>
        <v>Repayments of long-term debt</v>
      </c>
      <c r="B915" s="92"/>
      <c r="C915" s="989">
        <f t="shared" si="2512"/>
        <v>-752</v>
      </c>
      <c r="D915" s="989">
        <f t="shared" si="2512"/>
        <v>-2</v>
      </c>
      <c r="E915" s="989">
        <f t="shared" si="2512"/>
        <v>-7</v>
      </c>
      <c r="F915" s="989">
        <f t="shared" si="2512"/>
        <v>-352</v>
      </c>
      <c r="G915" s="989">
        <f t="shared" si="2512"/>
        <v>-2627</v>
      </c>
      <c r="H915" s="92">
        <f t="shared" si="2512"/>
        <v>-1</v>
      </c>
      <c r="I915" s="92">
        <f t="shared" si="2513"/>
        <v>-354</v>
      </c>
      <c r="J915" s="92">
        <f t="shared" si="2513"/>
        <v>-651</v>
      </c>
      <c r="K915" s="92">
        <f t="shared" si="2513"/>
        <v>0</v>
      </c>
      <c r="L915" s="989">
        <f t="shared" si="2514"/>
        <v>-1006</v>
      </c>
      <c r="M915" s="92">
        <f t="shared" si="2514"/>
        <v>0</v>
      </c>
      <c r="N915" s="92">
        <f t="shared" si="2515"/>
        <v>-9</v>
      </c>
      <c r="O915" s="92">
        <f t="shared" si="2515"/>
        <v>-11</v>
      </c>
      <c r="P915" s="92">
        <f t="shared" si="2515"/>
        <v>0</v>
      </c>
      <c r="Q915" s="989">
        <f t="shared" si="2516"/>
        <v>-20</v>
      </c>
      <c r="R915" s="92">
        <f t="shared" si="2516"/>
        <v>-16</v>
      </c>
      <c r="S915" s="92">
        <f t="shared" si="2517"/>
        <v>0</v>
      </c>
      <c r="T915" s="92">
        <f t="shared" si="2517"/>
        <v>0</v>
      </c>
      <c r="U915" s="92">
        <f t="shared" si="2517"/>
        <v>-1</v>
      </c>
      <c r="V915" s="989">
        <f t="shared" si="2518"/>
        <v>-17</v>
      </c>
      <c r="W915" s="92">
        <f t="shared" si="2518"/>
        <v>0</v>
      </c>
      <c r="X915" s="92">
        <f t="shared" si="2519"/>
        <v>0</v>
      </c>
      <c r="Y915" s="92">
        <f t="shared" si="2519"/>
        <v>0</v>
      </c>
      <c r="Z915" s="92">
        <f t="shared" si="2519"/>
        <v>0</v>
      </c>
      <c r="AA915" s="989">
        <f t="shared" si="2520"/>
        <v>0</v>
      </c>
      <c r="AB915" s="92">
        <f t="shared" si="2520"/>
        <v>0</v>
      </c>
      <c r="AC915" s="92">
        <f t="shared" si="2521"/>
        <v>-401</v>
      </c>
      <c r="AD915" s="92">
        <f t="shared" si="2521"/>
        <v>0</v>
      </c>
      <c r="AE915" s="92">
        <f t="shared" si="2521"/>
        <v>1</v>
      </c>
      <c r="AF915" s="989">
        <f t="shared" si="2522"/>
        <v>-400</v>
      </c>
      <c r="AG915" s="92">
        <f t="shared" si="2522"/>
        <v>0</v>
      </c>
      <c r="AH915" s="92">
        <f t="shared" si="2523"/>
        <v>-317</v>
      </c>
      <c r="AI915" s="92">
        <f t="shared" si="2523"/>
        <v>0</v>
      </c>
      <c r="AJ915" s="92">
        <f t="shared" si="2523"/>
        <v>0</v>
      </c>
      <c r="AK915" s="989">
        <f t="shared" si="2524"/>
        <v>-317</v>
      </c>
      <c r="AL915" s="92">
        <f t="shared" si="2524"/>
        <v>0</v>
      </c>
      <c r="AM915" s="92">
        <f t="shared" si="2525"/>
        <v>0</v>
      </c>
      <c r="AN915" s="92">
        <f t="shared" si="2525"/>
        <v>0</v>
      </c>
      <c r="AO915" s="92">
        <f t="shared" si="2525"/>
        <v>0</v>
      </c>
      <c r="AP915" s="989">
        <f t="shared" si="2526"/>
        <v>0</v>
      </c>
      <c r="AQ915" s="92">
        <f t="shared" si="2526"/>
        <v>-422</v>
      </c>
      <c r="AR915" s="92">
        <f t="shared" si="2527"/>
        <v>0</v>
      </c>
      <c r="AS915" s="92">
        <f t="shared" si="2527"/>
        <v>0</v>
      </c>
      <c r="AT915" s="92">
        <f t="shared" si="2527"/>
        <v>-14</v>
      </c>
      <c r="AU915" s="989">
        <f t="shared" si="2528"/>
        <v>-436</v>
      </c>
      <c r="AV915" s="92">
        <f t="shared" si="2528"/>
        <v>0</v>
      </c>
      <c r="AW915" s="92">
        <f t="shared" si="2529"/>
        <v>0</v>
      </c>
      <c r="AX915" s="92">
        <f t="shared" si="2529"/>
        <v>0</v>
      </c>
      <c r="AY915" s="92">
        <f t="shared" si="2529"/>
        <v>0</v>
      </c>
      <c r="AZ915" s="989">
        <f t="shared" si="2539" ref="AZ915">AZ843</f>
        <v>0</v>
      </c>
      <c r="BA915" s="92">
        <f t="shared" si="2531"/>
        <v>-250</v>
      </c>
      <c r="BB915" s="92">
        <f t="shared" si="2532"/>
        <v>-500</v>
      </c>
      <c r="BC915" s="92">
        <f t="shared" si="2532"/>
        <v>0</v>
      </c>
      <c r="BD915" s="92">
        <f t="shared" si="2533"/>
        <v>0</v>
      </c>
      <c r="BE915" s="989">
        <f t="shared" si="2534"/>
        <v>-750</v>
      </c>
      <c r="BF915" s="92">
        <f t="shared" si="2534"/>
        <v>0</v>
      </c>
      <c r="BG915" s="92">
        <f t="shared" si="2535"/>
        <v>-350</v>
      </c>
      <c r="BH915" s="464">
        <f t="shared" si="2536"/>
        <v>0</v>
      </c>
      <c r="BI915" s="92">
        <f>MIN(BI763-BH763,0)</f>
        <v>0</v>
      </c>
      <c r="BJ915" s="989">
        <f t="shared" si="2537"/>
        <v>-350</v>
      </c>
      <c r="BK915" s="92">
        <f>MIN(BK763-BJ763,0)</f>
        <v>0</v>
      </c>
      <c r="BL915" s="92">
        <f>MIN(BL763-BK763,0)</f>
        <v>0</v>
      </c>
      <c r="BM915" s="92">
        <f>MIN(BM763-BL763,0)</f>
        <v>0</v>
      </c>
      <c r="BN915" s="92">
        <f>MIN(BN763-BM763,0)</f>
        <v>0</v>
      </c>
      <c r="BO915" s="989">
        <f t="shared" si="2538"/>
        <v>0</v>
      </c>
      <c r="BP915" s="989">
        <f>MIN(BP763-BO763,0)</f>
        <v>0</v>
      </c>
      <c r="BQ915" s="989">
        <f>MIN(BQ763-BP763,0)</f>
        <v>0</v>
      </c>
      <c r="BR915" s="989">
        <f>MIN(BR763-BQ763,0)</f>
        <v>0</v>
      </c>
      <c r="BS915" s="84"/>
    </row>
    <row r="916" spans="1:71" s="85" customFormat="1" ht="15">
      <c r="A916" s="82" t="str">
        <f t="shared" si="2511"/>
        <v>Proceeds from issuance of preferred stock</v>
      </c>
      <c r="B916" s="92"/>
      <c r="C916" s="989">
        <f t="shared" si="2512"/>
        <v>0</v>
      </c>
      <c r="D916" s="989">
        <f t="shared" si="2512"/>
        <v>0</v>
      </c>
      <c r="E916" s="989">
        <f t="shared" si="2512"/>
        <v>0</v>
      </c>
      <c r="F916" s="989">
        <f t="shared" si="2512"/>
        <v>0</v>
      </c>
      <c r="G916" s="989">
        <f t="shared" si="2512"/>
        <v>781</v>
      </c>
      <c r="H916" s="92">
        <f t="shared" si="2512"/>
        <v>725</v>
      </c>
      <c r="I916" s="92">
        <f t="shared" si="2513"/>
        <v>240</v>
      </c>
      <c r="J916" s="92">
        <f t="shared" si="2513"/>
        <v>0</v>
      </c>
      <c r="K916" s="92">
        <f t="shared" si="2513"/>
        <v>0</v>
      </c>
      <c r="L916" s="989">
        <f t="shared" si="2514"/>
        <v>965</v>
      </c>
      <c r="M916" s="92">
        <f t="shared" si="2514"/>
        <v>0</v>
      </c>
      <c r="N916" s="92">
        <f t="shared" si="2515"/>
        <v>0</v>
      </c>
      <c r="O916" s="92">
        <f t="shared" si="2515"/>
        <v>0</v>
      </c>
      <c r="P916" s="92">
        <f t="shared" si="2515"/>
        <v>0</v>
      </c>
      <c r="Q916" s="989">
        <f t="shared" si="2516"/>
        <v>0</v>
      </c>
      <c r="R916" s="92">
        <f t="shared" si="2516"/>
        <v>0</v>
      </c>
      <c r="S916" s="92">
        <f t="shared" si="2517"/>
        <v>0</v>
      </c>
      <c r="T916" s="92">
        <f t="shared" si="2517"/>
        <v>0</v>
      </c>
      <c r="U916" s="92">
        <f t="shared" si="2517"/>
        <v>0</v>
      </c>
      <c r="V916" s="989">
        <f t="shared" si="2518"/>
        <v>0</v>
      </c>
      <c r="W916" s="92">
        <f t="shared" si="2518"/>
        <v>0</v>
      </c>
      <c r="X916" s="92">
        <f t="shared" si="2519"/>
        <v>0</v>
      </c>
      <c r="Y916" s="92">
        <f t="shared" si="2519"/>
        <v>0</v>
      </c>
      <c r="Z916" s="92">
        <f t="shared" si="2519"/>
        <v>0</v>
      </c>
      <c r="AA916" s="989">
        <f t="shared" si="2520"/>
        <v>0</v>
      </c>
      <c r="AB916" s="92">
        <f t="shared" si="2520"/>
        <v>558</v>
      </c>
      <c r="AC916" s="92">
        <f t="shared" si="2521"/>
        <v>-1</v>
      </c>
      <c r="AD916" s="92">
        <f t="shared" si="2521"/>
        <v>0</v>
      </c>
      <c r="AE916" s="92">
        <f t="shared" si="2521"/>
        <v>0</v>
      </c>
      <c r="AF916" s="989">
        <f t="shared" si="2522"/>
        <v>557</v>
      </c>
      <c r="AG916" s="92">
        <f t="shared" si="2522"/>
        <v>0</v>
      </c>
      <c r="AH916" s="92">
        <f t="shared" si="2523"/>
        <v>0</v>
      </c>
      <c r="AI916" s="92">
        <f t="shared" si="2523"/>
        <v>1122</v>
      </c>
      <c r="AJ916" s="92">
        <f t="shared" si="2523"/>
        <v>292</v>
      </c>
      <c r="AK916" s="989">
        <f t="shared" si="2524"/>
        <v>1414</v>
      </c>
      <c r="AL916" s="92">
        <f t="shared" si="2524"/>
        <v>0</v>
      </c>
      <c r="AM916" s="92">
        <f t="shared" si="2525"/>
        <v>0</v>
      </c>
      <c r="AN916" s="92">
        <f t="shared" si="2525"/>
        <v>0</v>
      </c>
      <c r="AO916" s="92">
        <f t="shared" si="2525"/>
        <v>0</v>
      </c>
      <c r="AP916" s="989">
        <f t="shared" si="2526"/>
        <v>0</v>
      </c>
      <c r="AQ916" s="92">
        <f t="shared" si="2526"/>
        <v>0</v>
      </c>
      <c r="AR916" s="92">
        <f t="shared" si="2527"/>
        <v>0</v>
      </c>
      <c r="AS916" s="92">
        <f t="shared" si="2527"/>
        <v>0</v>
      </c>
      <c r="AT916" s="92">
        <f t="shared" si="2527"/>
        <v>0</v>
      </c>
      <c r="AU916" s="989">
        <f t="shared" si="2528"/>
        <v>0</v>
      </c>
      <c r="AV916" s="92">
        <f t="shared" si="2528"/>
        <v>0</v>
      </c>
      <c r="AW916" s="92">
        <f t="shared" si="2529"/>
        <v>0</v>
      </c>
      <c r="AX916" s="92">
        <f t="shared" si="2529"/>
        <v>0</v>
      </c>
      <c r="AY916" s="92">
        <f t="shared" si="2529"/>
        <v>0</v>
      </c>
      <c r="AZ916" s="989">
        <f t="shared" si="2540" ref="AZ916">AZ844</f>
        <v>0</v>
      </c>
      <c r="BA916" s="92">
        <f t="shared" si="2531"/>
        <v>0</v>
      </c>
      <c r="BB916" s="92">
        <f t="shared" si="2532"/>
        <v>587</v>
      </c>
      <c r="BC916" s="92">
        <f t="shared" si="2532"/>
        <v>0</v>
      </c>
      <c r="BD916" s="92">
        <f t="shared" si="2533"/>
        <v>0</v>
      </c>
      <c r="BE916" s="989">
        <f t="shared" si="2534"/>
        <v>587</v>
      </c>
      <c r="BF916" s="92">
        <f t="shared" si="2534"/>
        <v>0</v>
      </c>
      <c r="BG916" s="92">
        <f t="shared" si="2535"/>
        <v>0</v>
      </c>
      <c r="BH916" s="464">
        <f t="shared" si="2536"/>
        <v>0</v>
      </c>
      <c r="BI916" s="92"/>
      <c r="BJ916" s="989">
        <f t="shared" si="2537"/>
        <v>0</v>
      </c>
      <c r="BK916" s="92"/>
      <c r="BL916" s="92"/>
      <c r="BM916" s="92"/>
      <c r="BN916" s="92"/>
      <c r="BO916" s="989">
        <f t="shared" si="2538"/>
        <v>0</v>
      </c>
      <c r="BP916" s="989"/>
      <c r="BQ916" s="989"/>
      <c r="BR916" s="989"/>
      <c r="BS916" s="84"/>
    </row>
    <row r="917" spans="1:71" s="85" customFormat="1" ht="15">
      <c r="A917" s="82" t="str">
        <f t="shared" si="2511"/>
        <v>Redemption of preferred stock</v>
      </c>
      <c r="B917" s="92"/>
      <c r="C917" s="989">
        <f t="shared" si="2512"/>
        <v>0</v>
      </c>
      <c r="D917" s="989">
        <f t="shared" si="2512"/>
        <v>0</v>
      </c>
      <c r="E917" s="989">
        <f t="shared" si="2512"/>
        <v>0</v>
      </c>
      <c r="F917" s="989">
        <f t="shared" si="2512"/>
        <v>0</v>
      </c>
      <c r="G917" s="989">
        <f t="shared" si="2512"/>
        <v>0</v>
      </c>
      <c r="H917" s="92">
        <f t="shared" si="2512"/>
        <v>0</v>
      </c>
      <c r="I917" s="92">
        <f t="shared" si="2513"/>
        <v>0</v>
      </c>
      <c r="J917" s="92">
        <f t="shared" si="2513"/>
        <v>0</v>
      </c>
      <c r="K917" s="92">
        <f t="shared" si="2513"/>
        <v>0</v>
      </c>
      <c r="L917" s="989">
        <f t="shared" si="2514"/>
        <v>0</v>
      </c>
      <c r="M917" s="92">
        <f t="shared" si="2514"/>
        <v>0</v>
      </c>
      <c r="N917" s="92">
        <f t="shared" si="2515"/>
        <v>0</v>
      </c>
      <c r="O917" s="92">
        <f t="shared" si="2515"/>
        <v>0</v>
      </c>
      <c r="P917" s="92">
        <f t="shared" si="2515"/>
        <v>0</v>
      </c>
      <c r="Q917" s="989">
        <f t="shared" si="2516"/>
        <v>0</v>
      </c>
      <c r="R917" s="92">
        <f t="shared" si="2516"/>
        <v>0</v>
      </c>
      <c r="S917" s="92">
        <f t="shared" si="2517"/>
        <v>0</v>
      </c>
      <c r="T917" s="92">
        <f t="shared" si="2517"/>
        <v>0</v>
      </c>
      <c r="U917" s="92">
        <f t="shared" si="2517"/>
        <v>0</v>
      </c>
      <c r="V917" s="989">
        <f t="shared" si="2518"/>
        <v>0</v>
      </c>
      <c r="W917" s="92">
        <f t="shared" si="2518"/>
        <v>0</v>
      </c>
      <c r="X917" s="92">
        <f t="shared" si="2519"/>
        <v>0</v>
      </c>
      <c r="Y917" s="92">
        <f t="shared" si="2519"/>
        <v>0</v>
      </c>
      <c r="Z917" s="92">
        <f t="shared" si="2519"/>
        <v>0</v>
      </c>
      <c r="AA917" s="989">
        <f t="shared" si="2520"/>
        <v>0</v>
      </c>
      <c r="AB917" s="92">
        <f t="shared" si="2520"/>
        <v>0</v>
      </c>
      <c r="AC917" s="92">
        <f t="shared" si="2521"/>
        <v>0</v>
      </c>
      <c r="AD917" s="92">
        <f t="shared" si="2521"/>
        <v>0</v>
      </c>
      <c r="AE917" s="92">
        <f t="shared" si="2521"/>
        <v>-385</v>
      </c>
      <c r="AF917" s="989">
        <f t="shared" si="2522"/>
        <v>-385</v>
      </c>
      <c r="AG917" s="92">
        <f t="shared" si="2522"/>
        <v>0</v>
      </c>
      <c r="AH917" s="92">
        <f t="shared" si="2523"/>
        <v>0</v>
      </c>
      <c r="AI917" s="92">
        <f t="shared" si="2523"/>
        <v>0</v>
      </c>
      <c r="AJ917" s="92">
        <f t="shared" si="2523"/>
        <v>-1132</v>
      </c>
      <c r="AK917" s="989">
        <f t="shared" si="2524"/>
        <v>-1132</v>
      </c>
      <c r="AL917" s="92">
        <f t="shared" si="2524"/>
        <v>-288</v>
      </c>
      <c r="AM917" s="92">
        <f t="shared" si="2525"/>
        <v>0</v>
      </c>
      <c r="AN917" s="92">
        <f t="shared" si="2525"/>
        <v>0</v>
      </c>
      <c r="AO917" s="92">
        <f t="shared" si="2525"/>
        <v>0</v>
      </c>
      <c r="AP917" s="989">
        <f t="shared" si="2526"/>
        <v>-288</v>
      </c>
      <c r="AQ917" s="92">
        <f t="shared" si="2526"/>
        <v>-250</v>
      </c>
      <c r="AR917" s="92">
        <f t="shared" si="2527"/>
        <v>0</v>
      </c>
      <c r="AS917" s="92">
        <f t="shared" si="2527"/>
        <v>-200</v>
      </c>
      <c r="AT917" s="92">
        <f t="shared" si="2527"/>
        <v>0</v>
      </c>
      <c r="AU917" s="989">
        <f t="shared" si="2528"/>
        <v>-450</v>
      </c>
      <c r="AV917" s="92">
        <f t="shared" si="2528"/>
        <v>0</v>
      </c>
      <c r="AW917" s="92">
        <f t="shared" si="2529"/>
        <v>0</v>
      </c>
      <c r="AX917" s="92">
        <f t="shared" si="2529"/>
        <v>0</v>
      </c>
      <c r="AY917" s="92">
        <f t="shared" si="2529"/>
        <v>0</v>
      </c>
      <c r="AZ917" s="989">
        <f t="shared" si="2541" ref="AZ917">AZ845</f>
        <v>0</v>
      </c>
      <c r="BA917" s="92">
        <f t="shared" si="2531"/>
        <v>0</v>
      </c>
      <c r="BB917" s="92">
        <f t="shared" si="2532"/>
        <v>-575</v>
      </c>
      <c r="BC917" s="92">
        <f t="shared" si="2532"/>
        <v>0</v>
      </c>
      <c r="BD917" s="92">
        <f t="shared" si="2533"/>
        <v>0</v>
      </c>
      <c r="BE917" s="989">
        <f t="shared" si="2534"/>
        <v>-575</v>
      </c>
      <c r="BF917" s="92">
        <f t="shared" si="2534"/>
        <v>0</v>
      </c>
      <c r="BG917" s="92">
        <f t="shared" si="2535"/>
        <v>0</v>
      </c>
      <c r="BH917" s="464">
        <f t="shared" si="2536"/>
        <v>0</v>
      </c>
      <c r="BI917" s="92"/>
      <c r="BJ917" s="989">
        <f t="shared" si="2537"/>
        <v>0</v>
      </c>
      <c r="BK917" s="92"/>
      <c r="BL917" s="92"/>
      <c r="BM917" s="92"/>
      <c r="BN917" s="92"/>
      <c r="BO917" s="989">
        <f t="shared" si="2538"/>
        <v>0</v>
      </c>
      <c r="BP917" s="989"/>
      <c r="BQ917" s="989"/>
      <c r="BR917" s="989"/>
      <c r="BS917" s="84"/>
    </row>
    <row r="918" spans="1:71" s="85" customFormat="1" ht="15">
      <c r="A918" s="82" t="str">
        <f t="shared" si="2511"/>
        <v>Contractholder fund deposits</v>
      </c>
      <c r="B918" s="92"/>
      <c r="C918" s="989">
        <f t="shared" si="2512"/>
        <v>4150</v>
      </c>
      <c r="D918" s="989">
        <f t="shared" si="2512"/>
        <v>2980</v>
      </c>
      <c r="E918" s="989">
        <f t="shared" si="2512"/>
        <v>2176</v>
      </c>
      <c r="F918" s="989">
        <f t="shared" si="2512"/>
        <v>2158</v>
      </c>
      <c r="G918" s="989">
        <f t="shared" si="2512"/>
        <v>2174</v>
      </c>
      <c r="H918" s="92">
        <f t="shared" si="2512"/>
        <v>403</v>
      </c>
      <c r="I918" s="92">
        <f t="shared" si="2513"/>
        <v>263</v>
      </c>
      <c r="J918" s="92">
        <f t="shared" si="2513"/>
        <v>260</v>
      </c>
      <c r="K918" s="92">
        <f t="shared" si="2513"/>
        <v>258</v>
      </c>
      <c r="L918" s="989">
        <f t="shared" si="2514"/>
        <v>1184</v>
      </c>
      <c r="M918" s="92">
        <f t="shared" si="2514"/>
        <v>261</v>
      </c>
      <c r="N918" s="92">
        <f t="shared" si="2515"/>
        <v>266</v>
      </c>
      <c r="O918" s="92">
        <f t="shared" si="2515"/>
        <v>257</v>
      </c>
      <c r="P918" s="92">
        <f t="shared" si="2515"/>
        <v>268</v>
      </c>
      <c r="Q918" s="989">
        <f t="shared" si="2516"/>
        <v>1052</v>
      </c>
      <c r="R918" s="92">
        <f t="shared" si="2516"/>
        <v>261</v>
      </c>
      <c r="S918" s="92">
        <f t="shared" si="2517"/>
        <v>261</v>
      </c>
      <c r="T918" s="92">
        <f t="shared" si="2517"/>
        <v>263</v>
      </c>
      <c r="U918" s="92">
        <f t="shared" si="2517"/>
        <v>264</v>
      </c>
      <c r="V918" s="989">
        <f t="shared" si="2518"/>
        <v>1049</v>
      </c>
      <c r="W918" s="92">
        <f t="shared" si="2518"/>
        <v>257</v>
      </c>
      <c r="X918" s="92">
        <f t="shared" si="2519"/>
        <v>258</v>
      </c>
      <c r="Y918" s="92">
        <f t="shared" si="2519"/>
        <v>252</v>
      </c>
      <c r="Z918" s="92">
        <f t="shared" si="2519"/>
        <v>258</v>
      </c>
      <c r="AA918" s="989">
        <f t="shared" si="2520"/>
        <v>1025</v>
      </c>
      <c r="AB918" s="92">
        <f t="shared" si="2520"/>
        <v>253</v>
      </c>
      <c r="AC918" s="92">
        <f t="shared" si="2521"/>
        <v>253</v>
      </c>
      <c r="AD918" s="92">
        <f t="shared" si="2521"/>
        <v>250</v>
      </c>
      <c r="AE918" s="92">
        <f t="shared" si="2521"/>
        <v>254</v>
      </c>
      <c r="AF918" s="989">
        <f t="shared" si="2522"/>
        <v>1010</v>
      </c>
      <c r="AG918" s="92">
        <f t="shared" si="2522"/>
        <v>254</v>
      </c>
      <c r="AH918" s="92">
        <f t="shared" si="2523"/>
        <v>250</v>
      </c>
      <c r="AI918" s="92">
        <f t="shared" si="2523"/>
        <v>247</v>
      </c>
      <c r="AJ918" s="92">
        <f t="shared" si="2523"/>
        <v>245</v>
      </c>
      <c r="AK918" s="989">
        <f t="shared" si="2524"/>
        <v>996</v>
      </c>
      <c r="AL918" s="92">
        <f t="shared" si="2524"/>
        <v>246</v>
      </c>
      <c r="AM918" s="92">
        <f t="shared" si="2525"/>
        <v>248</v>
      </c>
      <c r="AN918" s="92">
        <f t="shared" si="2525"/>
        <v>255</v>
      </c>
      <c r="AO918" s="92">
        <f t="shared" si="2525"/>
        <v>242</v>
      </c>
      <c r="AP918" s="989">
        <f t="shared" si="2526"/>
        <v>991</v>
      </c>
      <c r="AQ918" s="92">
        <f t="shared" si="2526"/>
        <v>252</v>
      </c>
      <c r="AR918" s="92">
        <f t="shared" si="2527"/>
        <v>247</v>
      </c>
      <c r="AS918" s="92">
        <f t="shared" si="2527"/>
        <v>242</v>
      </c>
      <c r="AT918" s="92">
        <f t="shared" si="2527"/>
        <v>85</v>
      </c>
      <c r="AU918" s="989">
        <f t="shared" si="2528"/>
        <v>826</v>
      </c>
      <c r="AV918" s="92">
        <f t="shared" si="2528"/>
        <v>34</v>
      </c>
      <c r="AW918" s="92">
        <f t="shared" si="2529"/>
        <v>35</v>
      </c>
      <c r="AX918" s="92">
        <f t="shared" si="2529"/>
        <v>33</v>
      </c>
      <c r="AY918" s="92">
        <f t="shared" si="2529"/>
        <v>31</v>
      </c>
      <c r="AZ918" s="989">
        <f t="shared" si="2542" ref="AZ918">AZ846</f>
        <v>133</v>
      </c>
      <c r="BA918" s="92">
        <f t="shared" si="2531"/>
        <v>33</v>
      </c>
      <c r="BB918" s="92">
        <f t="shared" si="2532"/>
        <v>33</v>
      </c>
      <c r="BC918" s="92">
        <f t="shared" si="2532"/>
        <v>33</v>
      </c>
      <c r="BD918" s="92">
        <f t="shared" si="2533"/>
        <v>31</v>
      </c>
      <c r="BE918" s="989">
        <f t="shared" si="2534"/>
        <v>130</v>
      </c>
      <c r="BF918" s="92">
        <f t="shared" si="2534"/>
        <v>34</v>
      </c>
      <c r="BG918" s="92">
        <f t="shared" si="2535"/>
        <v>33</v>
      </c>
      <c r="BH918" s="464">
        <f t="shared" si="2536"/>
        <v>31</v>
      </c>
      <c r="BI918" s="92"/>
      <c r="BJ918" s="989">
        <f t="shared" si="2537"/>
        <v>98</v>
      </c>
      <c r="BK918" s="92"/>
      <c r="BL918" s="92"/>
      <c r="BM918" s="92"/>
      <c r="BN918" s="92"/>
      <c r="BO918" s="989">
        <f t="shared" si="2538"/>
        <v>0</v>
      </c>
      <c r="BP918" s="989"/>
      <c r="BQ918" s="989"/>
      <c r="BR918" s="989"/>
      <c r="BS918" s="84"/>
    </row>
    <row r="919" spans="1:71" s="85" customFormat="1" ht="15">
      <c r="A919" s="82" t="str">
        <f t="shared" si="2511"/>
        <v>Contractholder fund withdrawals</v>
      </c>
      <c r="B919" s="92"/>
      <c r="C919" s="989">
        <f t="shared" si="2512"/>
        <v>-11406</v>
      </c>
      <c r="D919" s="989">
        <f t="shared" si="2512"/>
        <v>-8470</v>
      </c>
      <c r="E919" s="989">
        <f t="shared" si="2512"/>
        <v>-8680</v>
      </c>
      <c r="F919" s="989">
        <f t="shared" si="2512"/>
        <v>-5519</v>
      </c>
      <c r="G919" s="989">
        <f t="shared" si="2512"/>
        <v>-6556</v>
      </c>
      <c r="H919" s="92">
        <f t="shared" si="2512"/>
        <v>-1084</v>
      </c>
      <c r="I919" s="92">
        <f t="shared" si="2513"/>
        <v>-838</v>
      </c>
      <c r="J919" s="92">
        <f t="shared" si="2513"/>
        <v>-909</v>
      </c>
      <c r="K919" s="92">
        <f t="shared" si="2513"/>
        <v>-615</v>
      </c>
      <c r="L919" s="989">
        <f t="shared" si="2514"/>
        <v>-3446</v>
      </c>
      <c r="M919" s="92">
        <f t="shared" si="2514"/>
        <v>-572</v>
      </c>
      <c r="N919" s="92">
        <f t="shared" si="2515"/>
        <v>-580</v>
      </c>
      <c r="O919" s="92">
        <f t="shared" si="2515"/>
        <v>-641</v>
      </c>
      <c r="P919" s="92">
        <f t="shared" si="2515"/>
        <v>-534</v>
      </c>
      <c r="Q919" s="989">
        <f t="shared" si="2516"/>
        <v>-2327</v>
      </c>
      <c r="R919" s="92">
        <f t="shared" si="2516"/>
        <v>-492</v>
      </c>
      <c r="S919" s="92">
        <f t="shared" si="2517"/>
        <v>-521</v>
      </c>
      <c r="T919" s="92">
        <f t="shared" si="2517"/>
        <v>-524</v>
      </c>
      <c r="U919" s="92">
        <f t="shared" si="2517"/>
        <v>-550</v>
      </c>
      <c r="V919" s="989">
        <f t="shared" si="2518"/>
        <v>-2087</v>
      </c>
      <c r="W919" s="92">
        <f t="shared" si="2518"/>
        <v>-483</v>
      </c>
      <c r="X919" s="92">
        <f t="shared" si="2519"/>
        <v>-474</v>
      </c>
      <c r="Y919" s="92">
        <f t="shared" si="2519"/>
        <v>-459</v>
      </c>
      <c r="Z919" s="92">
        <f t="shared" si="2519"/>
        <v>-474</v>
      </c>
      <c r="AA919" s="989">
        <f t="shared" si="2520"/>
        <v>-1890</v>
      </c>
      <c r="AB919" s="92">
        <f t="shared" si="2520"/>
        <v>-492</v>
      </c>
      <c r="AC919" s="92">
        <f t="shared" si="2521"/>
        <v>-505</v>
      </c>
      <c r="AD919" s="92">
        <f t="shared" si="2521"/>
        <v>-477</v>
      </c>
      <c r="AE919" s="92">
        <f t="shared" si="2521"/>
        <v>-493</v>
      </c>
      <c r="AF919" s="989">
        <f t="shared" si="2522"/>
        <v>-1967</v>
      </c>
      <c r="AG919" s="92">
        <f t="shared" si="2522"/>
        <v>-458</v>
      </c>
      <c r="AH919" s="92">
        <f t="shared" si="2523"/>
        <v>-418</v>
      </c>
      <c r="AI919" s="92">
        <f t="shared" si="2523"/>
        <v>-402</v>
      </c>
      <c r="AJ919" s="92">
        <f t="shared" si="2523"/>
        <v>-384</v>
      </c>
      <c r="AK919" s="989">
        <f t="shared" si="2524"/>
        <v>-1662</v>
      </c>
      <c r="AL919" s="92">
        <f t="shared" si="2524"/>
        <v>-471</v>
      </c>
      <c r="AM919" s="92">
        <f t="shared" si="2525"/>
        <v>-320</v>
      </c>
      <c r="AN919" s="92">
        <f t="shared" si="2525"/>
        <v>-360</v>
      </c>
      <c r="AO919" s="92">
        <f t="shared" si="2525"/>
        <v>-343</v>
      </c>
      <c r="AP919" s="989">
        <f t="shared" si="2526"/>
        <v>-1494</v>
      </c>
      <c r="AQ919" s="92">
        <f t="shared" si="2526"/>
        <v>-374</v>
      </c>
      <c r="AR919" s="92">
        <f t="shared" si="2527"/>
        <v>-337</v>
      </c>
      <c r="AS919" s="92">
        <f t="shared" si="2527"/>
        <v>-325</v>
      </c>
      <c r="AT919" s="92">
        <f t="shared" si="2527"/>
        <v>-104</v>
      </c>
      <c r="AU919" s="989">
        <f t="shared" si="2528"/>
        <v>-1140</v>
      </c>
      <c r="AV919" s="92">
        <f t="shared" si="2528"/>
        <v>-9</v>
      </c>
      <c r="AW919" s="92">
        <f t="shared" si="2529"/>
        <v>-12</v>
      </c>
      <c r="AX919" s="92">
        <f t="shared" si="2529"/>
        <v>-10</v>
      </c>
      <c r="AY919" s="92">
        <f t="shared" si="2529"/>
        <v>-18</v>
      </c>
      <c r="AZ919" s="989">
        <f t="shared" si="2543" ref="AZ919">AZ847</f>
        <v>-49</v>
      </c>
      <c r="BA919" s="92">
        <f t="shared" si="2531"/>
        <v>-9</v>
      </c>
      <c r="BB919" s="92">
        <f t="shared" si="2532"/>
        <v>-7</v>
      </c>
      <c r="BC919" s="92">
        <f t="shared" si="2532"/>
        <v>-7</v>
      </c>
      <c r="BD919" s="92">
        <f t="shared" si="2533"/>
        <v>-12</v>
      </c>
      <c r="BE919" s="989">
        <f t="shared" si="2534"/>
        <v>-35</v>
      </c>
      <c r="BF919" s="92">
        <f t="shared" si="2534"/>
        <v>-8</v>
      </c>
      <c r="BG919" s="92">
        <f t="shared" si="2535"/>
        <v>-8</v>
      </c>
      <c r="BH919" s="464">
        <f t="shared" si="2536"/>
        <v>-10</v>
      </c>
      <c r="BI919" s="92"/>
      <c r="BJ919" s="989">
        <f t="shared" si="2537"/>
        <v>-26</v>
      </c>
      <c r="BK919" s="92"/>
      <c r="BL919" s="92"/>
      <c r="BM919" s="92"/>
      <c r="BN919" s="92"/>
      <c r="BO919" s="989">
        <f t="shared" si="2538"/>
        <v>0</v>
      </c>
      <c r="BP919" s="989"/>
      <c r="BQ919" s="989"/>
      <c r="BR919" s="989"/>
      <c r="BS919" s="84"/>
    </row>
    <row r="920" spans="1:71" s="85" customFormat="1" ht="15">
      <c r="A920" s="82" t="str">
        <f t="shared" si="2511"/>
        <v>Dividends paid on common stock</v>
      </c>
      <c r="B920" s="92"/>
      <c r="C920" s="989">
        <f t="shared" si="2512"/>
        <v>-542</v>
      </c>
      <c r="D920" s="989">
        <f t="shared" si="2512"/>
        <v>-430</v>
      </c>
      <c r="E920" s="989">
        <f t="shared" si="2512"/>
        <v>-435</v>
      </c>
      <c r="F920" s="989">
        <f t="shared" si="2512"/>
        <v>-534</v>
      </c>
      <c r="G920" s="989">
        <f t="shared" si="2512"/>
        <v>-352</v>
      </c>
      <c r="H920" s="92">
        <f t="shared" si="2512"/>
        <v>-113</v>
      </c>
      <c r="I920" s="92">
        <f t="shared" si="2513"/>
        <v>-125</v>
      </c>
      <c r="J920" s="92">
        <f t="shared" si="2513"/>
        <v>-122</v>
      </c>
      <c r="K920" s="92">
        <f t="shared" si="2513"/>
        <v>-117</v>
      </c>
      <c r="L920" s="989">
        <f t="shared" si="2514"/>
        <v>-477</v>
      </c>
      <c r="M920" s="92">
        <f t="shared" si="2514"/>
        <v>-118</v>
      </c>
      <c r="N920" s="92">
        <f t="shared" si="2515"/>
        <v>-125</v>
      </c>
      <c r="O920" s="92">
        <f t="shared" si="2515"/>
        <v>-122</v>
      </c>
      <c r="P920" s="92">
        <f t="shared" si="2515"/>
        <v>-118</v>
      </c>
      <c r="Q920" s="989">
        <f t="shared" si="2516"/>
        <v>-483</v>
      </c>
      <c r="R920" s="92">
        <f t="shared" si="2516"/>
        <v>-115</v>
      </c>
      <c r="S920" s="92">
        <f t="shared" si="2517"/>
        <v>-125</v>
      </c>
      <c r="T920" s="92">
        <f t="shared" si="2517"/>
        <v>-124</v>
      </c>
      <c r="U920" s="92">
        <f t="shared" si="2517"/>
        <v>-122</v>
      </c>
      <c r="V920" s="989">
        <f t="shared" si="2518"/>
        <v>-486</v>
      </c>
      <c r="W920" s="92">
        <f t="shared" si="2518"/>
        <v>-122</v>
      </c>
      <c r="X920" s="92">
        <f t="shared" si="2519"/>
        <v>-135</v>
      </c>
      <c r="Y920" s="92">
        <f t="shared" si="2519"/>
        <v>-134</v>
      </c>
      <c r="Z920" s="92">
        <f t="shared" si="2519"/>
        <v>-134</v>
      </c>
      <c r="AA920" s="989">
        <f t="shared" si="2520"/>
        <v>-525</v>
      </c>
      <c r="AB920" s="92">
        <f t="shared" si="2520"/>
        <v>-132</v>
      </c>
      <c r="AC920" s="92">
        <f t="shared" si="2521"/>
        <v>-163</v>
      </c>
      <c r="AD920" s="92">
        <f t="shared" si="2521"/>
        <v>-160</v>
      </c>
      <c r="AE920" s="92">
        <f t="shared" si="2521"/>
        <v>-159</v>
      </c>
      <c r="AF920" s="989">
        <f t="shared" si="2522"/>
        <v>-614</v>
      </c>
      <c r="AG920" s="92">
        <f t="shared" si="2522"/>
        <v>-158</v>
      </c>
      <c r="AH920" s="92">
        <f t="shared" si="2523"/>
        <v>-166</v>
      </c>
      <c r="AI920" s="92">
        <f t="shared" si="2523"/>
        <v>-166</v>
      </c>
      <c r="AJ920" s="92">
        <f t="shared" si="2523"/>
        <v>-163</v>
      </c>
      <c r="AK920" s="989">
        <f t="shared" si="2524"/>
        <v>-653</v>
      </c>
      <c r="AL920" s="92">
        <f t="shared" si="2524"/>
        <v>-159</v>
      </c>
      <c r="AM920" s="92">
        <f t="shared" si="2525"/>
        <v>-172</v>
      </c>
      <c r="AN920" s="92">
        <f t="shared" si="2525"/>
        <v>-169</v>
      </c>
      <c r="AO920" s="92">
        <f t="shared" si="2525"/>
        <v>-168</v>
      </c>
      <c r="AP920" s="989">
        <f t="shared" si="2526"/>
        <v>-668</v>
      </c>
      <c r="AQ920" s="92">
        <f t="shared" si="2526"/>
        <v>-164</v>
      </c>
      <c r="AR920" s="92">
        <f t="shared" si="2527"/>
        <v>-245</v>
      </c>
      <c r="AS920" s="92">
        <f t="shared" si="2527"/>
        <v>-241</v>
      </c>
      <c r="AT920" s="92">
        <f t="shared" si="2527"/>
        <v>-235</v>
      </c>
      <c r="AU920" s="989">
        <f t="shared" si="2528"/>
        <v>-885</v>
      </c>
      <c r="AV920" s="92">
        <f t="shared" si="2528"/>
        <v>-230</v>
      </c>
      <c r="AW920" s="92">
        <f t="shared" si="2529"/>
        <v>-236</v>
      </c>
      <c r="AX920" s="92">
        <f t="shared" si="2529"/>
        <v>-232</v>
      </c>
      <c r="AY920" s="92">
        <f t="shared" si="2529"/>
        <v>-228</v>
      </c>
      <c r="AZ920" s="989">
        <f t="shared" si="2544" ref="AZ920">AZ848</f>
        <v>-926</v>
      </c>
      <c r="BA920" s="92">
        <f t="shared" si="2531"/>
        <v>-224</v>
      </c>
      <c r="BB920" s="92">
        <f t="shared" si="2532"/>
        <v>-235</v>
      </c>
      <c r="BC920" s="92">
        <f t="shared" si="2532"/>
        <v>-233</v>
      </c>
      <c r="BD920" s="92">
        <f t="shared" si="2533"/>
        <v>-233</v>
      </c>
      <c r="BE920" s="989">
        <f t="shared" si="2534"/>
        <v>-925</v>
      </c>
      <c r="BF920" s="92">
        <f t="shared" si="2534"/>
        <v>-233</v>
      </c>
      <c r="BG920" s="92">
        <f t="shared" si="2535"/>
        <v>-243</v>
      </c>
      <c r="BH920" s="464">
        <f t="shared" si="2536"/>
        <v>-243</v>
      </c>
      <c r="BI920" s="92">
        <f ca="1">BI733</f>
        <v>-246.16072000000003</v>
      </c>
      <c r="BJ920" s="989">
        <f t="shared" ca="1" si="2537"/>
        <v>-965.16072000000008</v>
      </c>
      <c r="BK920" s="92">
        <f ca="1">BK733</f>
        <v>-246.16072000000003</v>
      </c>
      <c r="BL920" s="92">
        <f ca="1">BL733</f>
        <v>-246.16072000000003</v>
      </c>
      <c r="BM920" s="92">
        <f ca="1">BM733</f>
        <v>-246.16072000000003</v>
      </c>
      <c r="BN920" s="92">
        <f ca="1">BN733</f>
        <v>-246.16072000000003</v>
      </c>
      <c r="BO920" s="989">
        <f t="shared" ca="1" si="2538"/>
        <v>-984.6428800000001</v>
      </c>
      <c r="BP920" s="989">
        <f ca="1">BP733</f>
        <v>-984.6428800000001</v>
      </c>
      <c r="BQ920" s="989">
        <f ca="1">BQ733</f>
        <v>-984.6428800000001</v>
      </c>
      <c r="BR920" s="989">
        <f ca="1">BR733</f>
        <v>-984.6428800000001</v>
      </c>
      <c r="BS920" s="84"/>
    </row>
    <row r="921" spans="1:71" s="85" customFormat="1" ht="15">
      <c r="A921" s="82" t="str">
        <f t="shared" si="2511"/>
        <v>Dividends paid on preferred stock</v>
      </c>
      <c r="B921" s="92"/>
      <c r="C921" s="989">
        <f t="shared" si="2512"/>
        <v>0</v>
      </c>
      <c r="D921" s="989">
        <f t="shared" si="2512"/>
        <v>0</v>
      </c>
      <c r="E921" s="989">
        <f t="shared" si="2512"/>
        <v>0</v>
      </c>
      <c r="F921" s="989">
        <f t="shared" si="2512"/>
        <v>0</v>
      </c>
      <c r="G921" s="989">
        <f t="shared" si="2512"/>
        <v>-6</v>
      </c>
      <c r="H921" s="92">
        <f t="shared" si="2512"/>
        <v>-12</v>
      </c>
      <c r="I921" s="92">
        <f t="shared" si="2513"/>
        <v>-13</v>
      </c>
      <c r="J921" s="92">
        <f t="shared" si="2513"/>
        <v>-31</v>
      </c>
      <c r="K921" s="92">
        <f t="shared" si="2513"/>
        <v>-31</v>
      </c>
      <c r="L921" s="989">
        <f t="shared" si="2514"/>
        <v>-87</v>
      </c>
      <c r="M921" s="92">
        <f t="shared" si="2514"/>
        <v>-29</v>
      </c>
      <c r="N921" s="92">
        <f t="shared" si="2515"/>
        <v>-29</v>
      </c>
      <c r="O921" s="92">
        <f t="shared" si="2515"/>
        <v>-29</v>
      </c>
      <c r="P921" s="92">
        <f t="shared" si="2515"/>
        <v>-29</v>
      </c>
      <c r="Q921" s="989">
        <f t="shared" si="2516"/>
        <v>-116</v>
      </c>
      <c r="R921" s="92">
        <f t="shared" si="2516"/>
        <v>-29</v>
      </c>
      <c r="S921" s="92">
        <f t="shared" si="2517"/>
        <v>-29</v>
      </c>
      <c r="T921" s="92">
        <f t="shared" si="2517"/>
        <v>-29</v>
      </c>
      <c r="U921" s="92">
        <f t="shared" si="2517"/>
        <v>-29</v>
      </c>
      <c r="V921" s="989">
        <f t="shared" si="2518"/>
        <v>-116</v>
      </c>
      <c r="W921" s="92">
        <f t="shared" si="2518"/>
        <v>-29</v>
      </c>
      <c r="X921" s="92">
        <f t="shared" si="2519"/>
        <v>-29</v>
      </c>
      <c r="Y921" s="92">
        <f t="shared" si="2519"/>
        <v>-29</v>
      </c>
      <c r="Z921" s="92">
        <f t="shared" si="2519"/>
        <v>-29</v>
      </c>
      <c r="AA921" s="989">
        <f t="shared" si="2520"/>
        <v>-116</v>
      </c>
      <c r="AB921" s="92">
        <f t="shared" si="2520"/>
        <v>-29</v>
      </c>
      <c r="AC921" s="92">
        <f t="shared" si="2521"/>
        <v>-29</v>
      </c>
      <c r="AD921" s="92">
        <f t="shared" si="2521"/>
        <v>-39</v>
      </c>
      <c r="AE921" s="92">
        <f t="shared" si="2521"/>
        <v>-37</v>
      </c>
      <c r="AF921" s="989">
        <f t="shared" si="2522"/>
        <v>-134</v>
      </c>
      <c r="AG921" s="92">
        <f t="shared" si="2522"/>
        <v>-31</v>
      </c>
      <c r="AH921" s="92">
        <f t="shared" si="2523"/>
        <v>-30</v>
      </c>
      <c r="AI921" s="92">
        <f t="shared" si="2523"/>
        <v>-31</v>
      </c>
      <c r="AJ921" s="92">
        <f t="shared" si="2523"/>
        <v>-42</v>
      </c>
      <c r="AK921" s="989">
        <f t="shared" si="2524"/>
        <v>-134</v>
      </c>
      <c r="AL921" s="92">
        <f t="shared" si="2524"/>
        <v>-29</v>
      </c>
      <c r="AM921" s="92">
        <f t="shared" si="2525"/>
        <v>-27</v>
      </c>
      <c r="AN921" s="92">
        <f t="shared" si="2525"/>
        <v>-26</v>
      </c>
      <c r="AO921" s="92">
        <f t="shared" si="2525"/>
        <v>-26</v>
      </c>
      <c r="AP921" s="989">
        <f t="shared" si="2526"/>
        <v>-108</v>
      </c>
      <c r="AQ921" s="92">
        <f t="shared" si="2526"/>
        <v>-27</v>
      </c>
      <c r="AR921" s="92">
        <f t="shared" si="2527"/>
        <v>-30</v>
      </c>
      <c r="AS921" s="92">
        <f t="shared" si="2527"/>
        <v>-30</v>
      </c>
      <c r="AT921" s="92">
        <f t="shared" si="2527"/>
        <v>-27</v>
      </c>
      <c r="AU921" s="989">
        <f t="shared" si="2528"/>
        <v>-114</v>
      </c>
      <c r="AV921" s="92">
        <f t="shared" si="2528"/>
        <v>-26</v>
      </c>
      <c r="AW921" s="92">
        <f t="shared" si="2529"/>
        <v>-27</v>
      </c>
      <c r="AX921" s="92">
        <f t="shared" si="2529"/>
        <v>-26</v>
      </c>
      <c r="AY921" s="92">
        <f t="shared" si="2529"/>
        <v>-26</v>
      </c>
      <c r="AZ921" s="989">
        <f t="shared" si="2545" ref="AZ921">AZ849</f>
        <v>-105</v>
      </c>
      <c r="BA921" s="92">
        <f t="shared" si="2531"/>
        <v>-26</v>
      </c>
      <c r="BB921" s="92">
        <f t="shared" si="2532"/>
        <v>-27</v>
      </c>
      <c r="BC921" s="92">
        <f t="shared" si="2532"/>
        <v>-18</v>
      </c>
      <c r="BD921" s="92">
        <f t="shared" si="2533"/>
        <v>-36</v>
      </c>
      <c r="BE921" s="989">
        <f t="shared" si="2534"/>
        <v>-107</v>
      </c>
      <c r="BF921" s="92">
        <f t="shared" si="2534"/>
        <v>-29</v>
      </c>
      <c r="BG921" s="92">
        <f t="shared" si="2535"/>
        <v>-30</v>
      </c>
      <c r="BH921" s="464">
        <f t="shared" si="2536"/>
        <v>-29</v>
      </c>
      <c r="BI921" s="92">
        <f>-BI693</f>
        <v>-30</v>
      </c>
      <c r="BJ921" s="989">
        <f t="shared" si="2537"/>
        <v>-118</v>
      </c>
      <c r="BK921" s="92">
        <f>-BK693</f>
        <v>-30</v>
      </c>
      <c r="BL921" s="92">
        <f>-BL693</f>
        <v>-30</v>
      </c>
      <c r="BM921" s="92">
        <f>-BM693</f>
        <v>-30</v>
      </c>
      <c r="BN921" s="92">
        <f>-BN693</f>
        <v>-30</v>
      </c>
      <c r="BO921" s="989">
        <f t="shared" si="2538"/>
        <v>-120</v>
      </c>
      <c r="BP921" s="989">
        <f>-BP693</f>
        <v>-120</v>
      </c>
      <c r="BQ921" s="989">
        <f>-BQ693</f>
        <v>-120</v>
      </c>
      <c r="BR921" s="989">
        <f>-BR693</f>
        <v>-120</v>
      </c>
      <c r="BS921" s="84"/>
    </row>
    <row r="922" spans="1:71" s="85" customFormat="1" ht="15">
      <c r="A922" s="82" t="str">
        <f t="shared" si="2511"/>
        <v>Treasury stock purchases</v>
      </c>
      <c r="B922" s="92"/>
      <c r="C922" s="989">
        <f t="shared" si="2512"/>
        <v>-4</v>
      </c>
      <c r="D922" s="989">
        <f t="shared" si="2512"/>
        <v>-152</v>
      </c>
      <c r="E922" s="989">
        <f t="shared" si="2512"/>
        <v>-953</v>
      </c>
      <c r="F922" s="989">
        <f t="shared" si="2512"/>
        <v>-913</v>
      </c>
      <c r="G922" s="989">
        <f t="shared" si="2512"/>
        <v>-1834</v>
      </c>
      <c r="H922" s="92">
        <f t="shared" si="2512"/>
        <v>-1115</v>
      </c>
      <c r="I922" s="92">
        <f t="shared" si="2513"/>
        <v>-142</v>
      </c>
      <c r="J922" s="92">
        <f t="shared" si="2513"/>
        <v>-932</v>
      </c>
      <c r="K922" s="92">
        <f t="shared" si="2513"/>
        <v>-112</v>
      </c>
      <c r="L922" s="989">
        <f t="shared" si="2514"/>
        <v>-2301</v>
      </c>
      <c r="M922" s="92">
        <f t="shared" si="2514"/>
        <v>-1010</v>
      </c>
      <c r="N922" s="92">
        <f t="shared" si="2515"/>
        <v>-414</v>
      </c>
      <c r="O922" s="92">
        <f t="shared" si="2515"/>
        <v>-792</v>
      </c>
      <c r="P922" s="92">
        <f t="shared" si="2515"/>
        <v>-592</v>
      </c>
      <c r="Q922" s="989">
        <f t="shared" si="2516"/>
        <v>-2808</v>
      </c>
      <c r="R922" s="92">
        <f t="shared" si="2516"/>
        <v>-456</v>
      </c>
      <c r="S922" s="92">
        <f t="shared" si="2517"/>
        <v>-448</v>
      </c>
      <c r="T922" s="92">
        <f t="shared" si="2517"/>
        <v>-250</v>
      </c>
      <c r="U922" s="92">
        <f t="shared" si="2517"/>
        <v>-183</v>
      </c>
      <c r="V922" s="989">
        <f t="shared" si="2518"/>
        <v>-1337</v>
      </c>
      <c r="W922" s="92">
        <f t="shared" si="2518"/>
        <v>-264</v>
      </c>
      <c r="X922" s="92">
        <f t="shared" si="2519"/>
        <v>-393</v>
      </c>
      <c r="Y922" s="92">
        <f t="shared" si="2519"/>
        <v>-191</v>
      </c>
      <c r="Z922" s="92">
        <f t="shared" si="2519"/>
        <v>-647</v>
      </c>
      <c r="AA922" s="989">
        <f t="shared" si="2520"/>
        <v>-1495</v>
      </c>
      <c r="AB922" s="92">
        <f t="shared" si="2520"/>
        <v>-270</v>
      </c>
      <c r="AC922" s="92">
        <f t="shared" si="2521"/>
        <v>-568</v>
      </c>
      <c r="AD922" s="92">
        <f t="shared" si="2521"/>
        <v>-224</v>
      </c>
      <c r="AE922" s="92">
        <f t="shared" si="2521"/>
        <v>-1241</v>
      </c>
      <c r="AF922" s="989">
        <f t="shared" si="2522"/>
        <v>-2303</v>
      </c>
      <c r="AG922" s="92">
        <f t="shared" si="2522"/>
        <v>0</v>
      </c>
      <c r="AH922" s="92">
        <f t="shared" si="2523"/>
        <v>-332</v>
      </c>
      <c r="AI922" s="92">
        <f t="shared" si="2523"/>
        <v>-604</v>
      </c>
      <c r="AJ922" s="92">
        <f t="shared" si="2523"/>
        <v>-799</v>
      </c>
      <c r="AK922" s="989">
        <f t="shared" si="2524"/>
        <v>-1735</v>
      </c>
      <c r="AL922" s="92">
        <f t="shared" si="2524"/>
        <v>-414</v>
      </c>
      <c r="AM922" s="92">
        <f t="shared" si="2525"/>
        <v>-407</v>
      </c>
      <c r="AN922" s="92">
        <f t="shared" si="2525"/>
        <v>-916</v>
      </c>
      <c r="AO922" s="92">
        <f t="shared" si="2525"/>
        <v>0</v>
      </c>
      <c r="AP922" s="989">
        <f t="shared" si="2526"/>
        <v>-1737</v>
      </c>
      <c r="AQ922" s="92">
        <f t="shared" si="2526"/>
        <v>-467</v>
      </c>
      <c r="AR922" s="92">
        <f t="shared" si="2527"/>
        <v>-564</v>
      </c>
      <c r="AS922" s="92">
        <f t="shared" si="2527"/>
        <v>-1226</v>
      </c>
      <c r="AT922" s="92">
        <f t="shared" si="2527"/>
        <v>-863</v>
      </c>
      <c r="AU922" s="989">
        <f t="shared" si="2528"/>
        <v>-3120</v>
      </c>
      <c r="AV922" s="92">
        <f t="shared" si="2528"/>
        <v>-802</v>
      </c>
      <c r="AW922" s="92">
        <f t="shared" si="2529"/>
        <v>-683</v>
      </c>
      <c r="AX922" s="92">
        <f t="shared" si="2529"/>
        <v>-665</v>
      </c>
      <c r="AY922" s="92">
        <f t="shared" si="2529"/>
        <v>-370</v>
      </c>
      <c r="AZ922" s="989">
        <f t="shared" si="2546" ref="AZ922">AZ850</f>
        <v>-2520</v>
      </c>
      <c r="BA922" s="92">
        <f t="shared" si="2531"/>
        <v>-153</v>
      </c>
      <c r="BB922" s="92">
        <f t="shared" si="2532"/>
        <v>-154</v>
      </c>
      <c r="BC922" s="92">
        <f t="shared" si="2532"/>
        <v>-28</v>
      </c>
      <c r="BD922" s="92">
        <f t="shared" si="2533"/>
        <v>0</v>
      </c>
      <c r="BE922" s="989">
        <f t="shared" si="2534"/>
        <v>-335</v>
      </c>
      <c r="BF922" s="92">
        <f t="shared" si="2534"/>
        <v>0</v>
      </c>
      <c r="BG922" s="92">
        <f t="shared" si="2535"/>
        <v>0</v>
      </c>
      <c r="BH922" s="464">
        <f t="shared" si="2536"/>
        <v>0</v>
      </c>
      <c r="BI922" s="92">
        <f>BI770</f>
        <v>0</v>
      </c>
      <c r="BJ922" s="989">
        <f t="shared" si="2537"/>
        <v>0</v>
      </c>
      <c r="BK922" s="92">
        <f>BK770</f>
        <v>0</v>
      </c>
      <c r="BL922" s="92">
        <f>BL770</f>
        <v>0</v>
      </c>
      <c r="BM922" s="92">
        <f>BM770</f>
        <v>0</v>
      </c>
      <c r="BN922" s="92">
        <f>BN770</f>
        <v>0</v>
      </c>
      <c r="BO922" s="989">
        <f t="shared" si="2538"/>
        <v>0</v>
      </c>
      <c r="BP922" s="989">
        <f>BP770</f>
        <v>0</v>
      </c>
      <c r="BQ922" s="989">
        <f>BQ770</f>
        <v>0</v>
      </c>
      <c r="BR922" s="989">
        <f>BR770</f>
        <v>0</v>
      </c>
      <c r="BS922" s="84"/>
    </row>
    <row r="923" spans="1:71" s="85" customFormat="1" ht="15">
      <c r="A923" s="82" t="str">
        <f t="shared" si="2511"/>
        <v>Shares reissued under equity incentive plans, net</v>
      </c>
      <c r="B923" s="92"/>
      <c r="C923" s="989">
        <f t="shared" si="2512"/>
        <v>3</v>
      </c>
      <c r="D923" s="989">
        <f t="shared" si="2512"/>
        <v>28</v>
      </c>
      <c r="E923" s="989">
        <f t="shared" si="2512"/>
        <v>19</v>
      </c>
      <c r="F923" s="989">
        <f t="shared" si="2512"/>
        <v>85</v>
      </c>
      <c r="G923" s="989">
        <f t="shared" si="2512"/>
        <v>170</v>
      </c>
      <c r="H923" s="92">
        <f t="shared" si="2512"/>
        <v>77</v>
      </c>
      <c r="I923" s="92">
        <f t="shared" si="2513"/>
        <v>72</v>
      </c>
      <c r="J923" s="92">
        <f t="shared" si="2513"/>
        <v>55</v>
      </c>
      <c r="K923" s="92">
        <f t="shared" si="2513"/>
        <v>62</v>
      </c>
      <c r="L923" s="989">
        <f t="shared" si="2514"/>
        <v>266</v>
      </c>
      <c r="M923" s="92">
        <f t="shared" si="2514"/>
        <v>64</v>
      </c>
      <c r="N923" s="92">
        <f t="shared" si="2515"/>
        <v>45</v>
      </c>
      <c r="O923" s="92">
        <f t="shared" si="2515"/>
        <v>12</v>
      </c>
      <c r="P923" s="92">
        <f t="shared" si="2515"/>
        <v>9</v>
      </c>
      <c r="Q923" s="989">
        <f t="shared" si="2516"/>
        <v>130</v>
      </c>
      <c r="R923" s="92">
        <f t="shared" si="2516"/>
        <v>30</v>
      </c>
      <c r="S923" s="92">
        <f t="shared" si="2517"/>
        <v>42</v>
      </c>
      <c r="T923" s="92">
        <f t="shared" si="2517"/>
        <v>51</v>
      </c>
      <c r="U923" s="92">
        <f t="shared" si="2517"/>
        <v>41</v>
      </c>
      <c r="V923" s="989">
        <f t="shared" si="2518"/>
        <v>164</v>
      </c>
      <c r="W923" s="92">
        <f t="shared" si="2518"/>
        <v>67</v>
      </c>
      <c r="X923" s="92">
        <f t="shared" si="2519"/>
        <v>41</v>
      </c>
      <c r="Y923" s="92">
        <f t="shared" si="2519"/>
        <v>24</v>
      </c>
      <c r="Z923" s="92">
        <f t="shared" si="2519"/>
        <v>3</v>
      </c>
      <c r="AA923" s="989">
        <f t="shared" si="2520"/>
        <v>135</v>
      </c>
      <c r="AB923" s="92">
        <f t="shared" si="2520"/>
        <v>10</v>
      </c>
      <c r="AC923" s="92">
        <f t="shared" si="2521"/>
        <v>18</v>
      </c>
      <c r="AD923" s="92">
        <f t="shared" si="2521"/>
        <v>38</v>
      </c>
      <c r="AE923" s="92">
        <f t="shared" si="2521"/>
        <v>7</v>
      </c>
      <c r="AF923" s="989">
        <f t="shared" si="2522"/>
        <v>73</v>
      </c>
      <c r="AG923" s="92">
        <f t="shared" si="2522"/>
        <v>-5</v>
      </c>
      <c r="AH923" s="92">
        <f t="shared" si="2523"/>
        <v>49</v>
      </c>
      <c r="AI923" s="92">
        <f t="shared" si="2523"/>
        <v>54</v>
      </c>
      <c r="AJ923" s="92">
        <f t="shared" si="2523"/>
        <v>22</v>
      </c>
      <c r="AK923" s="989">
        <f t="shared" si="2524"/>
        <v>120</v>
      </c>
      <c r="AL923" s="92">
        <f t="shared" si="2524"/>
        <v>8</v>
      </c>
      <c r="AM923" s="92">
        <f t="shared" si="2525"/>
        <v>44</v>
      </c>
      <c r="AN923" s="92">
        <f t="shared" si="2525"/>
        <v>2</v>
      </c>
      <c r="AO923" s="92">
        <f t="shared" si="2525"/>
        <v>9</v>
      </c>
      <c r="AP923" s="989">
        <f t="shared" si="2526"/>
        <v>63</v>
      </c>
      <c r="AQ923" s="92">
        <f t="shared" si="2526"/>
        <v>4</v>
      </c>
      <c r="AR923" s="92">
        <f t="shared" si="2527"/>
        <v>81</v>
      </c>
      <c r="AS923" s="92">
        <f t="shared" si="2527"/>
        <v>23</v>
      </c>
      <c r="AT923" s="92">
        <f t="shared" si="2527"/>
        <v>6</v>
      </c>
      <c r="AU923" s="989">
        <f t="shared" si="2528"/>
        <v>114</v>
      </c>
      <c r="AV923" s="92">
        <f t="shared" si="2528"/>
        <v>17</v>
      </c>
      <c r="AW923" s="92">
        <f t="shared" si="2529"/>
        <v>38</v>
      </c>
      <c r="AX923" s="92">
        <f t="shared" si="2529"/>
        <v>6</v>
      </c>
      <c r="AY923" s="92">
        <f t="shared" si="2529"/>
        <v>21</v>
      </c>
      <c r="AZ923" s="989">
        <f t="shared" si="2547" ref="AZ923">AZ851</f>
        <v>82</v>
      </c>
      <c r="BA923" s="92">
        <f t="shared" si="2531"/>
        <v>6</v>
      </c>
      <c r="BB923" s="92">
        <f t="shared" si="2532"/>
        <v>4</v>
      </c>
      <c r="BC923" s="92">
        <f t="shared" si="2532"/>
        <v>7</v>
      </c>
      <c r="BD923" s="92">
        <f t="shared" si="2533"/>
        <v>56</v>
      </c>
      <c r="BE923" s="989">
        <f t="shared" si="2534"/>
        <v>73</v>
      </c>
      <c r="BF923" s="92">
        <f t="shared" si="2534"/>
        <v>80</v>
      </c>
      <c r="BG923" s="92">
        <f t="shared" si="2535"/>
        <v>13</v>
      </c>
      <c r="BH923" s="464">
        <f t="shared" si="2536"/>
        <v>56</v>
      </c>
      <c r="BI923" s="92"/>
      <c r="BJ923" s="989">
        <f t="shared" si="2537"/>
        <v>149</v>
      </c>
      <c r="BK923" s="92"/>
      <c r="BL923" s="92"/>
      <c r="BM923" s="92"/>
      <c r="BN923" s="92"/>
      <c r="BO923" s="989">
        <f t="shared" si="2538"/>
        <v>0</v>
      </c>
      <c r="BP923" s="989"/>
      <c r="BQ923" s="989"/>
      <c r="BR923" s="989"/>
      <c r="BS923" s="84"/>
    </row>
    <row r="924" spans="1:71" s="85" customFormat="1" ht="15">
      <c r="A924" s="82" t="str">
        <f t="shared" si="2511"/>
        <v>Excess tax benefits on share-based payment arrangements</v>
      </c>
      <c r="B924" s="92"/>
      <c r="C924" s="989">
        <f t="shared" si="2512"/>
        <v>-5</v>
      </c>
      <c r="D924" s="989">
        <f t="shared" si="2512"/>
        <v>-7</v>
      </c>
      <c r="E924" s="989">
        <f t="shared" si="2512"/>
        <v>-5</v>
      </c>
      <c r="F924" s="989">
        <f t="shared" si="2512"/>
        <v>10</v>
      </c>
      <c r="G924" s="989">
        <f t="shared" si="2512"/>
        <v>38</v>
      </c>
      <c r="H924" s="92">
        <f t="shared" si="2512"/>
        <v>13</v>
      </c>
      <c r="I924" s="92">
        <f t="shared" si="2513"/>
        <v>5</v>
      </c>
      <c r="J924" s="92">
        <f t="shared" si="2513"/>
        <v>4</v>
      </c>
      <c r="K924" s="92">
        <f t="shared" si="2513"/>
        <v>19</v>
      </c>
      <c r="L924" s="989">
        <f t="shared" si="2514"/>
        <v>41</v>
      </c>
      <c r="M924" s="92">
        <f t="shared" si="2514"/>
        <v>26</v>
      </c>
      <c r="N924" s="92">
        <f t="shared" si="2515"/>
        <v>17</v>
      </c>
      <c r="O924" s="92">
        <f t="shared" si="2515"/>
        <v>1</v>
      </c>
      <c r="P924" s="92">
        <f t="shared" si="2515"/>
        <v>1</v>
      </c>
      <c r="Q924" s="989">
        <f t="shared" si="2516"/>
        <v>45</v>
      </c>
      <c r="R924" s="92">
        <f t="shared" si="2516"/>
        <v>12</v>
      </c>
      <c r="S924" s="92">
        <f t="shared" si="2517"/>
        <v>8</v>
      </c>
      <c r="T924" s="92">
        <f t="shared" si="2517"/>
        <v>5</v>
      </c>
      <c r="U924" s="92">
        <f t="shared" si="2517"/>
        <v>7</v>
      </c>
      <c r="V924" s="989">
        <f t="shared" si="2518"/>
        <v>32</v>
      </c>
      <c r="W924" s="92">
        <f t="shared" si="2518"/>
        <v>0</v>
      </c>
      <c r="X924" s="92">
        <f t="shared" si="2519"/>
        <v>0</v>
      </c>
      <c r="Y924" s="92">
        <f t="shared" si="2519"/>
        <v>0</v>
      </c>
      <c r="Z924" s="92">
        <f t="shared" si="2519"/>
        <v>0</v>
      </c>
      <c r="AA924" s="989">
        <f t="shared" si="2520"/>
        <v>0</v>
      </c>
      <c r="AB924" s="92">
        <f t="shared" si="2520"/>
        <v>0</v>
      </c>
      <c r="AC924" s="92">
        <f t="shared" si="2521"/>
        <v>0</v>
      </c>
      <c r="AD924" s="92">
        <f t="shared" si="2521"/>
        <v>0</v>
      </c>
      <c r="AE924" s="92">
        <f t="shared" si="2521"/>
        <v>0</v>
      </c>
      <c r="AF924" s="989">
        <f t="shared" si="2522"/>
        <v>0</v>
      </c>
      <c r="AG924" s="92">
        <f t="shared" si="2522"/>
        <v>0</v>
      </c>
      <c r="AH924" s="92">
        <f t="shared" si="2523"/>
        <v>0</v>
      </c>
      <c r="AI924" s="92">
        <f t="shared" si="2523"/>
        <v>0</v>
      </c>
      <c r="AJ924" s="92">
        <f t="shared" si="2523"/>
        <v>0</v>
      </c>
      <c r="AK924" s="989">
        <f t="shared" si="2524"/>
        <v>0</v>
      </c>
      <c r="AL924" s="92">
        <f t="shared" si="2524"/>
        <v>0</v>
      </c>
      <c r="AM924" s="92">
        <f t="shared" si="2525"/>
        <v>0</v>
      </c>
      <c r="AN924" s="92">
        <f t="shared" si="2525"/>
        <v>0</v>
      </c>
      <c r="AO924" s="92">
        <f t="shared" si="2525"/>
        <v>0</v>
      </c>
      <c r="AP924" s="989">
        <f t="shared" si="2526"/>
        <v>0</v>
      </c>
      <c r="AQ924" s="92">
        <f t="shared" si="2526"/>
        <v>0</v>
      </c>
      <c r="AR924" s="92">
        <f t="shared" si="2527"/>
        <v>0</v>
      </c>
      <c r="AS924" s="92">
        <f t="shared" si="2527"/>
        <v>0</v>
      </c>
      <c r="AT924" s="92">
        <f t="shared" si="2527"/>
        <v>0</v>
      </c>
      <c r="AU924" s="989">
        <f t="shared" si="2528"/>
        <v>0</v>
      </c>
      <c r="AV924" s="92">
        <f t="shared" si="2528"/>
        <v>0</v>
      </c>
      <c r="AW924" s="92">
        <f t="shared" si="2529"/>
        <v>0</v>
      </c>
      <c r="AX924" s="92">
        <f t="shared" si="2529"/>
        <v>0</v>
      </c>
      <c r="AY924" s="92">
        <f t="shared" si="2529"/>
        <v>0</v>
      </c>
      <c r="AZ924" s="989">
        <f t="shared" si="2548" ref="AZ924">AZ852</f>
        <v>0</v>
      </c>
      <c r="BA924" s="92">
        <f t="shared" si="2531"/>
        <v>0</v>
      </c>
      <c r="BB924" s="92">
        <f t="shared" si="2532"/>
        <v>0</v>
      </c>
      <c r="BC924" s="92">
        <f t="shared" si="2532"/>
        <v>0</v>
      </c>
      <c r="BD924" s="92">
        <f t="shared" si="2533"/>
        <v>0</v>
      </c>
      <c r="BE924" s="989">
        <f t="shared" si="2534"/>
        <v>0</v>
      </c>
      <c r="BF924" s="92">
        <f t="shared" si="2534"/>
        <v>0</v>
      </c>
      <c r="BG924" s="92">
        <f t="shared" si="2535"/>
        <v>0</v>
      </c>
      <c r="BH924" s="464">
        <f t="shared" si="2536"/>
        <v>0</v>
      </c>
      <c r="BI924" s="92"/>
      <c r="BJ924" s="989">
        <f t="shared" si="2537"/>
        <v>0</v>
      </c>
      <c r="BK924" s="92"/>
      <c r="BL924" s="92"/>
      <c r="BM924" s="92"/>
      <c r="BN924" s="92"/>
      <c r="BO924" s="989">
        <f t="shared" si="2538"/>
        <v>0</v>
      </c>
      <c r="BP924" s="989"/>
      <c r="BQ924" s="989"/>
      <c r="BR924" s="989"/>
      <c r="BS924" s="84"/>
    </row>
    <row r="925" spans="1:71" s="85" customFormat="1" ht="15">
      <c r="A925" s="82" t="str">
        <f t="shared" si="2511"/>
        <v>Other</v>
      </c>
      <c r="B925" s="92"/>
      <c r="C925" s="989">
        <f t="shared" si="2512"/>
        <v>9</v>
      </c>
      <c r="D925" s="989">
        <f t="shared" si="2512"/>
        <v>-18</v>
      </c>
      <c r="E925" s="989">
        <f t="shared" si="2512"/>
        <v>2</v>
      </c>
      <c r="F925" s="989">
        <f t="shared" si="2512"/>
        <v>-33</v>
      </c>
      <c r="G925" s="989">
        <f t="shared" si="2512"/>
        <v>-12</v>
      </c>
      <c r="H925" s="92">
        <f t="shared" si="2512"/>
        <v>-6</v>
      </c>
      <c r="I925" s="92">
        <f t="shared" si="2513"/>
        <v>-3</v>
      </c>
      <c r="J925" s="92">
        <f t="shared" si="2513"/>
        <v>-5</v>
      </c>
      <c r="K925" s="92">
        <f t="shared" si="2513"/>
        <v>0</v>
      </c>
      <c r="L925" s="989">
        <f t="shared" si="2514"/>
        <v>-14</v>
      </c>
      <c r="M925" s="92">
        <f t="shared" si="2514"/>
        <v>-2</v>
      </c>
      <c r="N925" s="92">
        <f t="shared" si="2515"/>
        <v>0</v>
      </c>
      <c r="O925" s="92">
        <f t="shared" si="2515"/>
        <v>1</v>
      </c>
      <c r="P925" s="92">
        <f t="shared" si="2515"/>
        <v>8</v>
      </c>
      <c r="Q925" s="989">
        <f t="shared" si="2516"/>
        <v>7</v>
      </c>
      <c r="R925" s="92">
        <f t="shared" si="2516"/>
        <v>31</v>
      </c>
      <c r="S925" s="92">
        <f t="shared" si="2517"/>
        <v>3</v>
      </c>
      <c r="T925" s="92">
        <f t="shared" si="2517"/>
        <v>1</v>
      </c>
      <c r="U925" s="92">
        <f t="shared" si="2517"/>
        <v>1</v>
      </c>
      <c r="V925" s="989">
        <f t="shared" si="2518"/>
        <v>36</v>
      </c>
      <c r="W925" s="92">
        <f t="shared" si="2518"/>
        <v>3</v>
      </c>
      <c r="X925" s="92">
        <f t="shared" si="2519"/>
        <v>-56</v>
      </c>
      <c r="Y925" s="92">
        <f t="shared" si="2519"/>
        <v>6</v>
      </c>
      <c r="Z925" s="92">
        <f t="shared" si="2519"/>
        <v>-10</v>
      </c>
      <c r="AA925" s="989">
        <f t="shared" si="2520"/>
        <v>-57</v>
      </c>
      <c r="AB925" s="92">
        <f t="shared" si="2520"/>
        <v>62</v>
      </c>
      <c r="AC925" s="92">
        <f t="shared" si="2521"/>
        <v>31</v>
      </c>
      <c r="AD925" s="92">
        <f t="shared" si="2521"/>
        <v>0</v>
      </c>
      <c r="AE925" s="92">
        <f t="shared" si="2521"/>
        <v>-2</v>
      </c>
      <c r="AF925" s="989">
        <f t="shared" si="2522"/>
        <v>91</v>
      </c>
      <c r="AG925" s="92">
        <f t="shared" si="2522"/>
        <v>-1</v>
      </c>
      <c r="AH925" s="92">
        <f t="shared" si="2523"/>
        <v>51</v>
      </c>
      <c r="AI925" s="92">
        <f t="shared" si="2523"/>
        <v>29</v>
      </c>
      <c r="AJ925" s="92">
        <f t="shared" si="2523"/>
        <v>50</v>
      </c>
      <c r="AK925" s="989">
        <f t="shared" si="2524"/>
        <v>129</v>
      </c>
      <c r="AL925" s="92">
        <f t="shared" si="2524"/>
        <v>12</v>
      </c>
      <c r="AM925" s="92">
        <f t="shared" si="2525"/>
        <v>20</v>
      </c>
      <c r="AN925" s="92">
        <f t="shared" si="2525"/>
        <v>26</v>
      </c>
      <c r="AO925" s="92">
        <f t="shared" si="2525"/>
        <v>-17</v>
      </c>
      <c r="AP925" s="989">
        <f t="shared" si="2526"/>
        <v>41</v>
      </c>
      <c r="AQ925" s="92">
        <f t="shared" si="2526"/>
        <v>-32</v>
      </c>
      <c r="AR925" s="92">
        <f t="shared" si="2527"/>
        <v>6</v>
      </c>
      <c r="AS925" s="92">
        <f t="shared" si="2527"/>
        <v>14</v>
      </c>
      <c r="AT925" s="92">
        <f t="shared" si="2527"/>
        <v>-23</v>
      </c>
      <c r="AU925" s="989">
        <f t="shared" si="2528"/>
        <v>-35</v>
      </c>
      <c r="AV925" s="92">
        <f t="shared" si="2528"/>
        <v>-30</v>
      </c>
      <c r="AW925" s="92">
        <f t="shared" si="2529"/>
        <v>-33</v>
      </c>
      <c r="AX925" s="92">
        <f t="shared" si="2529"/>
        <v>11</v>
      </c>
      <c r="AY925" s="92">
        <f t="shared" si="2529"/>
        <v>17</v>
      </c>
      <c r="AZ925" s="989">
        <f t="shared" si="2549" ref="AZ925">AZ853</f>
        <v>-35</v>
      </c>
      <c r="BA925" s="92">
        <f t="shared" si="2531"/>
        <v>0</v>
      </c>
      <c r="BB925" s="92">
        <f t="shared" si="2532"/>
        <v>-4</v>
      </c>
      <c r="BC925" s="92">
        <f t="shared" si="2532"/>
        <v>19</v>
      </c>
      <c r="BD925" s="92">
        <f t="shared" si="2533"/>
        <v>-64</v>
      </c>
      <c r="BE925" s="989">
        <f t="shared" si="2534"/>
        <v>-49</v>
      </c>
      <c r="BF925" s="92">
        <f t="shared" si="2534"/>
        <v>-10</v>
      </c>
      <c r="BG925" s="92">
        <f t="shared" si="2535"/>
        <v>4</v>
      </c>
      <c r="BH925" s="464">
        <f t="shared" si="2536"/>
        <v>10</v>
      </c>
      <c r="BI925" s="92"/>
      <c r="BJ925" s="989">
        <f t="shared" si="2537"/>
        <v>4</v>
      </c>
      <c r="BK925" s="92"/>
      <c r="BL925" s="92"/>
      <c r="BM925" s="92"/>
      <c r="BN925" s="92"/>
      <c r="BO925" s="989">
        <f t="shared" si="2538"/>
        <v>0</v>
      </c>
      <c r="BP925" s="989"/>
      <c r="BQ925" s="989"/>
      <c r="BR925" s="989"/>
      <c r="BS925" s="84"/>
    </row>
    <row r="926" spans="1:71" s="85" customFormat="1" ht="15">
      <c r="A926" s="349" t="str">
        <f t="shared" si="2511"/>
        <v>Cash classified as held for sale</v>
      </c>
      <c r="B926" s="115"/>
      <c r="C926" s="995">
        <f t="shared" si="2512"/>
        <v>0</v>
      </c>
      <c r="D926" s="995">
        <f t="shared" si="2512"/>
        <v>0</v>
      </c>
      <c r="E926" s="995">
        <f t="shared" si="2512"/>
        <v>0</v>
      </c>
      <c r="F926" s="995">
        <f t="shared" si="2512"/>
        <v>0</v>
      </c>
      <c r="G926" s="995">
        <f t="shared" si="2512"/>
        <v>0</v>
      </c>
      <c r="H926" s="115">
        <f t="shared" si="2512"/>
        <v>-242</v>
      </c>
      <c r="I926" s="115">
        <f t="shared" si="2513"/>
        <v>242</v>
      </c>
      <c r="J926" s="115">
        <f t="shared" si="2513"/>
        <v>0</v>
      </c>
      <c r="K926" s="115">
        <f t="shared" si="2513"/>
        <v>0</v>
      </c>
      <c r="L926" s="995">
        <f t="shared" si="2514"/>
        <v>0</v>
      </c>
      <c r="M926" s="115">
        <f t="shared" si="2514"/>
        <v>0</v>
      </c>
      <c r="N926" s="115">
        <f t="shared" si="2515"/>
        <v>0</v>
      </c>
      <c r="O926" s="115">
        <f t="shared" si="2515"/>
        <v>0</v>
      </c>
      <c r="P926" s="115">
        <f t="shared" si="2515"/>
        <v>0</v>
      </c>
      <c r="Q926" s="995">
        <f t="shared" si="2516"/>
        <v>0</v>
      </c>
      <c r="R926" s="115">
        <f t="shared" si="2516"/>
        <v>0</v>
      </c>
      <c r="S926" s="115">
        <f t="shared" si="2517"/>
        <v>0</v>
      </c>
      <c r="T926" s="115">
        <f t="shared" si="2517"/>
        <v>0</v>
      </c>
      <c r="U926" s="115">
        <f t="shared" si="2517"/>
        <v>0</v>
      </c>
      <c r="V926" s="995">
        <f t="shared" si="2518"/>
        <v>0</v>
      </c>
      <c r="W926" s="115">
        <f t="shared" si="2518"/>
        <v>0</v>
      </c>
      <c r="X926" s="115">
        <f t="shared" si="2519"/>
        <v>0</v>
      </c>
      <c r="Y926" s="115">
        <f t="shared" si="2519"/>
        <v>0</v>
      </c>
      <c r="Z926" s="115">
        <f t="shared" si="2519"/>
        <v>0</v>
      </c>
      <c r="AA926" s="995">
        <f t="shared" si="2520"/>
        <v>0</v>
      </c>
      <c r="AB926" s="115">
        <f t="shared" si="2520"/>
        <v>0</v>
      </c>
      <c r="AC926" s="115">
        <f t="shared" si="2521"/>
        <v>0</v>
      </c>
      <c r="AD926" s="115">
        <f t="shared" si="2521"/>
        <v>0</v>
      </c>
      <c r="AE926" s="115">
        <f t="shared" si="2521"/>
        <v>0</v>
      </c>
      <c r="AF926" s="995">
        <f t="shared" si="2522"/>
        <v>0</v>
      </c>
      <c r="AG926" s="115">
        <f t="shared" si="2522"/>
        <v>0</v>
      </c>
      <c r="AH926" s="115">
        <f t="shared" si="2523"/>
        <v>0</v>
      </c>
      <c r="AI926" s="115">
        <f t="shared" si="2523"/>
        <v>0</v>
      </c>
      <c r="AJ926" s="115">
        <f t="shared" si="2523"/>
        <v>0</v>
      </c>
      <c r="AK926" s="995">
        <f t="shared" si="2524"/>
        <v>0</v>
      </c>
      <c r="AL926" s="115">
        <f t="shared" si="2524"/>
        <v>0</v>
      </c>
      <c r="AM926" s="115">
        <f t="shared" si="2525"/>
        <v>0</v>
      </c>
      <c r="AN926" s="115">
        <f t="shared" si="2525"/>
        <v>0</v>
      </c>
      <c r="AO926" s="115">
        <f t="shared" si="2525"/>
        <v>0</v>
      </c>
      <c r="AP926" s="995">
        <f t="shared" si="2526"/>
        <v>0</v>
      </c>
      <c r="AQ926" s="115">
        <f t="shared" si="2526"/>
        <v>0</v>
      </c>
      <c r="AR926" s="115">
        <f t="shared" si="2527"/>
        <v>0</v>
      </c>
      <c r="AS926" s="115">
        <f t="shared" si="2527"/>
        <v>0</v>
      </c>
      <c r="AT926" s="115">
        <f t="shared" si="2527"/>
        <v>0</v>
      </c>
      <c r="AU926" s="995">
        <f t="shared" si="2528"/>
        <v>0</v>
      </c>
      <c r="AV926" s="115">
        <f t="shared" si="2528"/>
        <v>0</v>
      </c>
      <c r="AW926" s="115">
        <f t="shared" si="2529"/>
        <v>0</v>
      </c>
      <c r="AX926" s="115">
        <f t="shared" si="2529"/>
        <v>0</v>
      </c>
      <c r="AY926" s="115">
        <f t="shared" si="2529"/>
        <v>0</v>
      </c>
      <c r="AZ926" s="995">
        <f t="shared" si="2550" ref="AZ926">AZ854</f>
        <v>0</v>
      </c>
      <c r="BA926" s="115">
        <f t="shared" si="2531"/>
        <v>0</v>
      </c>
      <c r="BB926" s="115">
        <f t="shared" si="2532"/>
        <v>0</v>
      </c>
      <c r="BC926" s="115">
        <f t="shared" si="2532"/>
        <v>0</v>
      </c>
      <c r="BD926" s="115">
        <f t="shared" si="2533"/>
        <v>0</v>
      </c>
      <c r="BE926" s="995">
        <f t="shared" si="2534"/>
        <v>0</v>
      </c>
      <c r="BF926" s="115">
        <f t="shared" si="2534"/>
        <v>0</v>
      </c>
      <c r="BG926" s="115">
        <f t="shared" si="2535"/>
        <v>0</v>
      </c>
      <c r="BH926" s="641">
        <f t="shared" si="2536"/>
        <v>0</v>
      </c>
      <c r="BI926" s="115"/>
      <c r="BJ926" s="995">
        <f t="shared" si="2537"/>
        <v>0</v>
      </c>
      <c r="BK926" s="115"/>
      <c r="BL926" s="115"/>
      <c r="BM926" s="115"/>
      <c r="BN926" s="115"/>
      <c r="BO926" s="995">
        <f t="shared" si="2538"/>
        <v>0</v>
      </c>
      <c r="BP926" s="995"/>
      <c r="BQ926" s="995"/>
      <c r="BR926" s="995"/>
      <c r="BS926" s="84"/>
    </row>
    <row r="927" spans="1:71" s="131" customFormat="1" ht="15">
      <c r="A927" s="228" t="str">
        <f t="shared" si="2511"/>
        <v>Net CFF</v>
      </c>
      <c r="B927" s="506"/>
      <c r="C927" s="997">
        <f t="shared" si="2551" ref="C927:AK927">SUM(C914:C926)</f>
        <v>-7544</v>
      </c>
      <c r="D927" s="997">
        <f t="shared" si="2551"/>
        <v>-6071</v>
      </c>
      <c r="E927" s="997">
        <f t="shared" si="2551"/>
        <v>-7876</v>
      </c>
      <c r="F927" s="997">
        <f t="shared" si="2551"/>
        <v>-4605</v>
      </c>
      <c r="G927" s="997">
        <f t="shared" si="2551"/>
        <v>-5953</v>
      </c>
      <c r="H927" s="90">
        <f t="shared" si="2551"/>
        <v>-1355</v>
      </c>
      <c r="I927" s="90">
        <f t="shared" si="2551"/>
        <v>-653</v>
      </c>
      <c r="J927" s="90">
        <f t="shared" si="2551"/>
        <v>-2331</v>
      </c>
      <c r="K927" s="90">
        <f t="shared" si="2551"/>
        <v>-536</v>
      </c>
      <c r="L927" s="997">
        <f t="shared" si="2551"/>
        <v>-4875</v>
      </c>
      <c r="M927" s="90">
        <f t="shared" si="2551"/>
        <v>-1380</v>
      </c>
      <c r="N927" s="90">
        <f t="shared" si="2551"/>
        <v>-829</v>
      </c>
      <c r="O927" s="90">
        <f t="shared" si="2551"/>
        <v>-1324</v>
      </c>
      <c r="P927" s="90">
        <f t="shared" si="2551"/>
        <v>-987</v>
      </c>
      <c r="Q927" s="997">
        <f t="shared" si="2551"/>
        <v>-4520</v>
      </c>
      <c r="R927" s="90">
        <f t="shared" si="2551"/>
        <v>-774</v>
      </c>
      <c r="S927" s="90">
        <f t="shared" si="2551"/>
        <v>-809</v>
      </c>
      <c r="T927" s="90">
        <f t="shared" si="2551"/>
        <v>-607</v>
      </c>
      <c r="U927" s="90">
        <f t="shared" si="2551"/>
        <v>664</v>
      </c>
      <c r="V927" s="997">
        <f t="shared" si="2551"/>
        <v>-1526</v>
      </c>
      <c r="W927" s="90">
        <f t="shared" si="2551"/>
        <v>-571</v>
      </c>
      <c r="X927" s="90">
        <f t="shared" si="2551"/>
        <v>-788</v>
      </c>
      <c r="Y927" s="90">
        <f t="shared" si="2551"/>
        <v>-531</v>
      </c>
      <c r="Z927" s="90">
        <f t="shared" si="2551"/>
        <v>-1033</v>
      </c>
      <c r="AA927" s="997">
        <f t="shared" si="2551"/>
        <v>-2923</v>
      </c>
      <c r="AB927" s="90">
        <f t="shared" si="2551"/>
        <v>458</v>
      </c>
      <c r="AC927" s="90">
        <f t="shared" si="2551"/>
        <v>-1365</v>
      </c>
      <c r="AD927" s="90">
        <f t="shared" si="2551"/>
        <v>-612</v>
      </c>
      <c r="AE927" s="90">
        <f t="shared" si="2551"/>
        <v>-2055</v>
      </c>
      <c r="AF927" s="997">
        <f t="shared" si="2551"/>
        <v>-3574</v>
      </c>
      <c r="AG927" s="90">
        <f t="shared" si="2551"/>
        <v>-399</v>
      </c>
      <c r="AH927" s="90">
        <f t="shared" si="2551"/>
        <v>-421</v>
      </c>
      <c r="AI927" s="90">
        <f t="shared" si="2551"/>
        <v>248</v>
      </c>
      <c r="AJ927" s="90">
        <f t="shared" si="2551"/>
        <v>-1911</v>
      </c>
      <c r="AK927" s="997">
        <f t="shared" si="2551"/>
        <v>-2483</v>
      </c>
      <c r="AL927" s="90">
        <f>SUM(AL914:AL926)</f>
        <v>-1095</v>
      </c>
      <c r="AM927" s="90">
        <f>SUM(AM914:AM926)</f>
        <v>-614</v>
      </c>
      <c r="AN927" s="90">
        <f>SUM(AN914:AN926)</f>
        <v>-1188</v>
      </c>
      <c r="AO927" s="90">
        <f t="shared" si="2552" ref="AO927:AP927">SUM(AO914:AO926)</f>
        <v>886</v>
      </c>
      <c r="AP927" s="997">
        <f t="shared" si="2552"/>
        <v>-2011</v>
      </c>
      <c r="AQ927" s="90">
        <f>SUM(AQ914:AQ926)</f>
        <v>-1480</v>
      </c>
      <c r="AR927" s="90">
        <f>SUM(AR914:AR926)</f>
        <v>-842</v>
      </c>
      <c r="AS927" s="90">
        <f>SUM(AS914:AS926)</f>
        <v>-1743</v>
      </c>
      <c r="AT927" s="90">
        <f t="shared" si="2553" ref="AT927:AU927">SUM(AT914:AT926)</f>
        <v>-1175</v>
      </c>
      <c r="AU927" s="997">
        <f t="shared" si="2553"/>
        <v>-5240</v>
      </c>
      <c r="AV927" s="90">
        <f t="shared" si="2554" ref="AV927:BJ927">SUM(AV914:AV926)</f>
        <v>-1046</v>
      </c>
      <c r="AW927" s="90">
        <f t="shared" si="2554"/>
        <v>-918</v>
      </c>
      <c r="AX927" s="90">
        <f t="shared" si="2554"/>
        <v>-883</v>
      </c>
      <c r="AY927" s="90">
        <f t="shared" si="2554"/>
        <v>-573</v>
      </c>
      <c r="AZ927" s="997">
        <f t="shared" si="2554"/>
        <v>-3420</v>
      </c>
      <c r="BA927" s="90">
        <f>SUM(BA914:BA926)</f>
        <v>121</v>
      </c>
      <c r="BB927" s="90">
        <f>SUM(BB914:BB926)</f>
        <v>-879</v>
      </c>
      <c r="BC927" s="90">
        <f>SUM(BC914:BC926)</f>
        <v>-227</v>
      </c>
      <c r="BD927" s="90">
        <f t="shared" si="2555" ref="BD927:BE927">SUM(BD914:BD926)</f>
        <v>-258</v>
      </c>
      <c r="BE927" s="997">
        <f t="shared" si="2555"/>
        <v>-1243</v>
      </c>
      <c r="BF927" s="90">
        <f>SUM(BF914:BF926)</f>
        <v>-166</v>
      </c>
      <c r="BG927" s="90">
        <f>SUM(BG914:BG926)</f>
        <v>-86</v>
      </c>
      <c r="BH927" s="747">
        <f>SUM(BH914:BH926)</f>
        <v>-185</v>
      </c>
      <c r="BI927" s="90">
        <f ca="1">SUM(BI914:BI926)</f>
        <v>-276.16072000000003</v>
      </c>
      <c r="BJ927" s="997">
        <f t="shared" ca="1" si="2554"/>
        <v>-713.16072000000008</v>
      </c>
      <c r="BK927" s="90">
        <f ca="1" t="shared" si="2556" ref="BK927:BR927">SUM(BK914:BK926)</f>
        <v>-276.16072000000003</v>
      </c>
      <c r="BL927" s="90">
        <f t="shared" ca="1" si="2556"/>
        <v>-276.16072000000003</v>
      </c>
      <c r="BM927" s="90">
        <f t="shared" ca="1" si="2556"/>
        <v>-276.16072000000003</v>
      </c>
      <c r="BN927" s="90">
        <f t="shared" ca="1" si="2556"/>
        <v>-276.16072000000003</v>
      </c>
      <c r="BO927" s="997">
        <f t="shared" ca="1" si="2556"/>
        <v>-1104.6428800000001</v>
      </c>
      <c r="BP927" s="997">
        <f t="shared" ca="1" si="2556"/>
        <v>-1104.6428800000001</v>
      </c>
      <c r="BQ927" s="997">
        <f t="shared" ca="1" si="2556"/>
        <v>-1104.6428800000001</v>
      </c>
      <c r="BR927" s="997">
        <f t="shared" ca="1" si="2556"/>
        <v>-1104.6428800000001</v>
      </c>
      <c r="BS927" s="101"/>
    </row>
    <row r="928" spans="1:71" s="131" customFormat="1" ht="15">
      <c r="A928" s="480"/>
      <c r="B928" s="483"/>
      <c r="C928" s="1000"/>
      <c r="D928" s="1000"/>
      <c r="E928" s="1000"/>
      <c r="F928" s="1000"/>
      <c r="G928" s="1000"/>
      <c r="H928" s="128"/>
      <c r="I928" s="128"/>
      <c r="J928" s="128"/>
      <c r="K928" s="128"/>
      <c r="L928" s="1000"/>
      <c r="M928" s="128"/>
      <c r="N928" s="128"/>
      <c r="O928" s="128"/>
      <c r="P928" s="128"/>
      <c r="Q928" s="1000"/>
      <c r="R928" s="128"/>
      <c r="S928" s="128"/>
      <c r="T928" s="128"/>
      <c r="U928" s="128"/>
      <c r="V928" s="1000"/>
      <c r="W928" s="128"/>
      <c r="X928" s="128"/>
      <c r="Y928" s="128"/>
      <c r="Z928" s="128"/>
      <c r="AA928" s="1000"/>
      <c r="AB928" s="128"/>
      <c r="AC928" s="128"/>
      <c r="AD928" s="128"/>
      <c r="AE928" s="128"/>
      <c r="AF928" s="1000"/>
      <c r="AG928" s="128"/>
      <c r="AH928" s="128"/>
      <c r="AI928" s="128"/>
      <c r="AJ928" s="128"/>
      <c r="AK928" s="1000"/>
      <c r="AL928" s="128"/>
      <c r="AM928" s="128"/>
      <c r="AN928" s="128"/>
      <c r="AO928" s="128"/>
      <c r="AP928" s="1000"/>
      <c r="AQ928" s="128"/>
      <c r="AR928" s="128"/>
      <c r="AS928" s="128"/>
      <c r="AT928" s="128"/>
      <c r="AU928" s="1000"/>
      <c r="AV928" s="128"/>
      <c r="AW928" s="128"/>
      <c r="AX928" s="128"/>
      <c r="AY928" s="128"/>
      <c r="AZ928" s="1000"/>
      <c r="BA928" s="128"/>
      <c r="BB928" s="128"/>
      <c r="BC928" s="128"/>
      <c r="BD928" s="128"/>
      <c r="BE928" s="1000"/>
      <c r="BF928" s="128"/>
      <c r="BG928" s="128"/>
      <c r="BH928" s="465"/>
      <c r="BI928" s="128"/>
      <c r="BJ928" s="1000"/>
      <c r="BK928" s="128"/>
      <c r="BL928" s="128"/>
      <c r="BM928" s="128"/>
      <c r="BN928" s="128"/>
      <c r="BO928" s="1000"/>
      <c r="BP928" s="1000"/>
      <c r="BQ928" s="1000"/>
      <c r="BR928" s="1000"/>
      <c r="BS928" s="101"/>
    </row>
    <row r="929" spans="1:71" s="85" customFormat="1" ht="15">
      <c r="A929" s="620" t="str">
        <f>A857</f>
        <v>FX</v>
      </c>
      <c r="B929" s="166"/>
      <c r="C929" s="989">
        <f t="shared" si="2557" ref="C929:H929">C857</f>
        <v>0</v>
      </c>
      <c r="D929" s="989">
        <f t="shared" si="2557"/>
        <v>0</v>
      </c>
      <c r="E929" s="989">
        <f t="shared" si="2557"/>
        <v>0</v>
      </c>
      <c r="F929" s="989">
        <f t="shared" si="2557"/>
        <v>0</v>
      </c>
      <c r="G929" s="989">
        <f t="shared" si="2557"/>
        <v>0</v>
      </c>
      <c r="H929" s="92">
        <f t="shared" si="2557"/>
        <v>0</v>
      </c>
      <c r="I929" s="92">
        <f>I857-H857</f>
        <v>0</v>
      </c>
      <c r="J929" s="92">
        <f>J857-I857</f>
        <v>0</v>
      </c>
      <c r="K929" s="92">
        <f>K857-J857</f>
        <v>0</v>
      </c>
      <c r="L929" s="989">
        <f>L857</f>
        <v>0</v>
      </c>
      <c r="M929" s="92">
        <f>M857</f>
        <v>0</v>
      </c>
      <c r="N929" s="92">
        <f>N857-M857</f>
        <v>0</v>
      </c>
      <c r="O929" s="92">
        <f>O857-N857</f>
        <v>0</v>
      </c>
      <c r="P929" s="92">
        <f>P857-O857</f>
        <v>0</v>
      </c>
      <c r="Q929" s="989">
        <f>Q857</f>
        <v>0</v>
      </c>
      <c r="R929" s="92">
        <f>R857</f>
        <v>0</v>
      </c>
      <c r="S929" s="92">
        <f>S857-R857</f>
        <v>0</v>
      </c>
      <c r="T929" s="92">
        <f>T857-S857</f>
        <v>0</v>
      </c>
      <c r="U929" s="92">
        <f>U857-T857</f>
        <v>0</v>
      </c>
      <c r="V929" s="989">
        <f>V857</f>
        <v>0</v>
      </c>
      <c r="W929" s="92">
        <f>W857</f>
        <v>0</v>
      </c>
      <c r="X929" s="92">
        <f>X857-W857</f>
        <v>0</v>
      </c>
      <c r="Y929" s="92">
        <f>Y857-X857</f>
        <v>0</v>
      </c>
      <c r="Z929" s="92">
        <f>Z857-Y857</f>
        <v>0</v>
      </c>
      <c r="AA929" s="989">
        <f>AA857</f>
        <v>0</v>
      </c>
      <c r="AB929" s="92">
        <f>AB857</f>
        <v>0</v>
      </c>
      <c r="AC929" s="92">
        <f>AC857-AB857</f>
        <v>0</v>
      </c>
      <c r="AD929" s="92">
        <f>AD857-AC857</f>
        <v>0</v>
      </c>
      <c r="AE929" s="92">
        <f>AE857-AD857</f>
        <v>0</v>
      </c>
      <c r="AF929" s="989">
        <f>AF857</f>
        <v>0</v>
      </c>
      <c r="AG929" s="92">
        <f>AG857</f>
        <v>0</v>
      </c>
      <c r="AH929" s="92">
        <f>AH857-AG857</f>
        <v>0</v>
      </c>
      <c r="AI929" s="92">
        <f>AI857-AH857</f>
        <v>0</v>
      </c>
      <c r="AJ929" s="92">
        <f>AJ857-AI857</f>
        <v>0</v>
      </c>
      <c r="AK929" s="989">
        <f>AK857</f>
        <v>0</v>
      </c>
      <c r="AL929" s="92">
        <f>AL857</f>
        <v>0</v>
      </c>
      <c r="AM929" s="92">
        <f>AM857-AL857</f>
        <v>0</v>
      </c>
      <c r="AN929" s="92">
        <f>AN857-AM857</f>
        <v>0</v>
      </c>
      <c r="AO929" s="92">
        <f>AO857-AN857</f>
        <v>0</v>
      </c>
      <c r="AP929" s="989">
        <f>AP857</f>
        <v>0</v>
      </c>
      <c r="AQ929" s="92">
        <f>AQ857</f>
        <v>0</v>
      </c>
      <c r="AR929" s="92">
        <f>AR857-AQ857</f>
        <v>0</v>
      </c>
      <c r="AS929" s="92">
        <f>AS857-AR857</f>
        <v>0</v>
      </c>
      <c r="AT929" s="92">
        <f>AT857-AS857</f>
        <v>0</v>
      </c>
      <c r="AU929" s="989">
        <f>AU857</f>
        <v>0</v>
      </c>
      <c r="AV929" s="92">
        <f>AV857</f>
        <v>0</v>
      </c>
      <c r="AW929" s="92">
        <f>AW857-AV857</f>
        <v>0</v>
      </c>
      <c r="AX929" s="92">
        <f>AX857-AW857</f>
        <v>0</v>
      </c>
      <c r="AY929" s="92">
        <f>AY857-AX857</f>
        <v>0</v>
      </c>
      <c r="AZ929" s="989">
        <f>AZ857</f>
        <v>0</v>
      </c>
      <c r="BA929" s="92">
        <f>BA857</f>
        <v>0</v>
      </c>
      <c r="BB929" s="92">
        <f>BB857-BA857</f>
        <v>0</v>
      </c>
      <c r="BC929" s="92">
        <f>BC857-BB857</f>
        <v>0</v>
      </c>
      <c r="BD929" s="92">
        <f>BD857-BC857</f>
        <v>0</v>
      </c>
      <c r="BE929" s="989">
        <f>BE857</f>
        <v>0</v>
      </c>
      <c r="BF929" s="92">
        <f>BF857</f>
        <v>0</v>
      </c>
      <c r="BG929" s="92">
        <f>BG857-BF857</f>
        <v>0</v>
      </c>
      <c r="BH929" s="464">
        <f>BH857-BG857</f>
        <v>0</v>
      </c>
      <c r="BI929" s="897">
        <v>0</v>
      </c>
      <c r="BJ929" s="989">
        <f>SUM(BF929,BG929,BH929,BI929)</f>
        <v>0</v>
      </c>
      <c r="BK929" s="897">
        <v>0</v>
      </c>
      <c r="BL929" s="897">
        <v>0</v>
      </c>
      <c r="BM929" s="897">
        <v>0</v>
      </c>
      <c r="BN929" s="897">
        <v>0</v>
      </c>
      <c r="BO929" s="989">
        <f>SUM(BK929,BL929,BM929,BN929)</f>
        <v>0</v>
      </c>
      <c r="BP929" s="988">
        <v>0</v>
      </c>
      <c r="BQ929" s="988">
        <v>0</v>
      </c>
      <c r="BR929" s="988">
        <v>0</v>
      </c>
      <c r="BS929" s="84"/>
    </row>
    <row r="930" spans="1:71" s="131" customFormat="1" ht="15">
      <c r="A930" s="132" t="str">
        <f>A858</f>
        <v>Net Change in Cash Balance</v>
      </c>
      <c r="B930" s="483"/>
      <c r="C930" s="1000">
        <f t="shared" si="2558" ref="C930:AK930">C927+C911+C889+C929</f>
        <v>197</v>
      </c>
      <c r="D930" s="1000">
        <f t="shared" si="2558"/>
        <v>-50</v>
      </c>
      <c r="E930" s="1000">
        <f t="shared" si="2558"/>
        <v>214</v>
      </c>
      <c r="F930" s="1000">
        <f t="shared" si="2558"/>
        <v>30</v>
      </c>
      <c r="G930" s="1000">
        <f t="shared" si="2558"/>
        <v>-131</v>
      </c>
      <c r="H930" s="128">
        <f t="shared" si="2558"/>
        <v>495</v>
      </c>
      <c r="I930" s="128">
        <f t="shared" si="2558"/>
        <v>-281</v>
      </c>
      <c r="J930" s="128">
        <f t="shared" si="2558"/>
        <v>-4</v>
      </c>
      <c r="K930" s="128">
        <f t="shared" si="2558"/>
        <v>-228</v>
      </c>
      <c r="L930" s="1000">
        <f t="shared" si="2558"/>
        <v>-18</v>
      </c>
      <c r="M930" s="128">
        <f t="shared" si="2558"/>
        <v>259</v>
      </c>
      <c r="N930" s="128">
        <f t="shared" si="2558"/>
        <v>-111</v>
      </c>
      <c r="O930" s="128">
        <f t="shared" si="2558"/>
        <v>100</v>
      </c>
      <c r="P930" s="128">
        <f t="shared" si="2558"/>
        <v>-410</v>
      </c>
      <c r="Q930" s="1000">
        <f t="shared" si="2558"/>
        <v>-162</v>
      </c>
      <c r="R930" s="128">
        <f t="shared" si="2558"/>
        <v>36</v>
      </c>
      <c r="S930" s="128">
        <f t="shared" si="2558"/>
        <v>-85</v>
      </c>
      <c r="T930" s="128">
        <f t="shared" si="2558"/>
        <v>-57</v>
      </c>
      <c r="U930" s="128">
        <f t="shared" si="2558"/>
        <v>47</v>
      </c>
      <c r="V930" s="1000">
        <f t="shared" si="2558"/>
        <v>-59</v>
      </c>
      <c r="W930" s="128">
        <f t="shared" si="2558"/>
        <v>6</v>
      </c>
      <c r="X930" s="128">
        <f t="shared" si="2558"/>
        <v>40</v>
      </c>
      <c r="Y930" s="128">
        <f t="shared" si="2558"/>
        <v>208</v>
      </c>
      <c r="Z930" s="128">
        <f t="shared" si="2558"/>
        <v>-73</v>
      </c>
      <c r="AA930" s="1000">
        <f t="shared" si="2558"/>
        <v>181</v>
      </c>
      <c r="AB930" s="128">
        <f t="shared" si="2558"/>
        <v>-167</v>
      </c>
      <c r="AC930" s="128">
        <f t="shared" si="2558"/>
        <v>39</v>
      </c>
      <c r="AD930" s="128">
        <f t="shared" si="2558"/>
        <v>-29</v>
      </c>
      <c r="AE930" s="128">
        <f t="shared" si="2558"/>
        <v>39</v>
      </c>
      <c r="AF930" s="1000">
        <f t="shared" si="2558"/>
        <v>-118</v>
      </c>
      <c r="AG930" s="128">
        <f t="shared" si="2558"/>
        <v>52</v>
      </c>
      <c r="AH930" s="128">
        <f t="shared" si="2558"/>
        <v>48</v>
      </c>
      <c r="AI930" s="128">
        <f t="shared" si="2558"/>
        <v>-12</v>
      </c>
      <c r="AJ930" s="128">
        <f t="shared" si="2558"/>
        <v>-249</v>
      </c>
      <c r="AK930" s="1000">
        <f t="shared" si="2558"/>
        <v>-161</v>
      </c>
      <c r="AL930" s="128">
        <f>AL927+AL911+AL889+AL929</f>
        <v>0</v>
      </c>
      <c r="AM930" s="128">
        <f>AM927+AM911+AM889+AM929</f>
        <v>209</v>
      </c>
      <c r="AN930" s="128">
        <f>AN927+AN911+AN889+AN929</f>
        <v>-177</v>
      </c>
      <c r="AO930" s="128">
        <f t="shared" si="2559" ref="AO930:AP930">AO927+AO911+AO889+AO929</f>
        <v>7</v>
      </c>
      <c r="AP930" s="1000">
        <f t="shared" si="2559"/>
        <v>39</v>
      </c>
      <c r="AQ930" s="128">
        <f>AQ927+AQ911+AQ889+AQ929</f>
        <v>421</v>
      </c>
      <c r="AR930" s="128">
        <f>AR927+AR911+AR889+AR929</f>
        <v>16</v>
      </c>
      <c r="AS930" s="128">
        <f>AS927+AS911+AS889+AS929</f>
        <v>32</v>
      </c>
      <c r="AT930" s="128">
        <f t="shared" si="2560" ref="AT930:AU930">AT927+AT911+AT889+AT929</f>
        <v>-83</v>
      </c>
      <c r="AU930" s="1000">
        <f t="shared" si="2560"/>
        <v>386</v>
      </c>
      <c r="AV930" s="128">
        <f>AV927+AV911+AV889+AV929</f>
        <v>367</v>
      </c>
      <c r="AW930" s="128">
        <f>AW927+AW911+AW889+AW929</f>
        <v>-364</v>
      </c>
      <c r="AX930" s="128">
        <f>AX927+AX911+AX889+AX929</f>
        <v>20</v>
      </c>
      <c r="AY930" s="128">
        <f t="shared" si="2561" ref="AY930:AZ930">AY927+AY911+AY889+AY929</f>
        <v>-50</v>
      </c>
      <c r="AZ930" s="1000">
        <f t="shared" si="2561"/>
        <v>-27</v>
      </c>
      <c r="BA930" s="128">
        <f>BA927+BA911+BA889+BA929</f>
        <v>-74</v>
      </c>
      <c r="BB930" s="128">
        <f>BB927+BB911+BB889+BB929</f>
        <v>37</v>
      </c>
      <c r="BC930" s="128">
        <f>BC927+BC911+BC889+BC929</f>
        <v>161</v>
      </c>
      <c r="BD930" s="128">
        <f t="shared" si="2562" ref="BD930:BE930">BD927+BD911+BD889+BD929</f>
        <v>-138</v>
      </c>
      <c r="BE930" s="1000">
        <f t="shared" si="2562"/>
        <v>-14</v>
      </c>
      <c r="BF930" s="128">
        <f>BF927+BF911+BF889+BF929</f>
        <v>128</v>
      </c>
      <c r="BG930" s="128">
        <f>BG927+BG911+BG889+BG929</f>
        <v>-251</v>
      </c>
      <c r="BH930" s="465">
        <f>BH927+BH911+BH889+BH929</f>
        <v>331</v>
      </c>
      <c r="BI930" s="128">
        <f ca="1">BI927+BI911+BI889+BI929</f>
        <v>9649.1625810040969</v>
      </c>
      <c r="BJ930" s="1000">
        <f ca="1">SUM(BI930,BH930,BG930,BF930)</f>
        <v>9857.1625810040969</v>
      </c>
      <c r="BK930" s="128">
        <f ca="1" t="shared" si="2563" ref="BK930:BR930">BK927+BK911+BK889+BK929</f>
        <v>-2541.9770608739709</v>
      </c>
      <c r="BL930" s="128">
        <f t="shared" ca="1" si="2563"/>
        <v>2368.4777661205408</v>
      </c>
      <c r="BM930" s="128">
        <f t="shared" ca="1" si="2563"/>
        <v>-2297.8576284931337</v>
      </c>
      <c r="BN930" s="128">
        <f t="shared" ca="1" si="2563"/>
        <v>10123.165217104439</v>
      </c>
      <c r="BO930" s="1000">
        <f t="shared" ca="1" si="2563"/>
        <v>7651.8082938578746</v>
      </c>
      <c r="BP930" s="1000">
        <f t="shared" ca="1" si="2563"/>
        <v>6581.5819575623636</v>
      </c>
      <c r="BQ930" s="1000">
        <f t="shared" ca="1" si="2563"/>
        <v>6926.7165565623354</v>
      </c>
      <c r="BR930" s="1000">
        <f t="shared" ca="1" si="2563"/>
        <v>7115.1533355626952</v>
      </c>
      <c r="BS930" s="101"/>
    </row>
    <row r="931" spans="1:71" s="131" customFormat="1" ht="15">
      <c r="A931" s="132" t="str">
        <f>A859</f>
        <v>Cash classified as assets held for sale at end of period</v>
      </c>
      <c r="B931" s="483"/>
      <c r="C931" s="1000">
        <f t="shared" si="2564" ref="C931:H931">C859</f>
        <v>0</v>
      </c>
      <c r="D931" s="1000">
        <f t="shared" si="2564"/>
        <v>0</v>
      </c>
      <c r="E931" s="1000">
        <f t="shared" si="2564"/>
        <v>0</v>
      </c>
      <c r="F931" s="1000">
        <f t="shared" si="2564"/>
        <v>0</v>
      </c>
      <c r="G931" s="1000">
        <f t="shared" si="2564"/>
        <v>0</v>
      </c>
      <c r="H931" s="128">
        <f t="shared" si="2564"/>
        <v>0</v>
      </c>
      <c r="I931" s="128">
        <f>I859-H859</f>
        <v>0</v>
      </c>
      <c r="J931" s="128">
        <f>J859-I859</f>
        <v>0</v>
      </c>
      <c r="K931" s="128">
        <f>K859-J859</f>
        <v>0</v>
      </c>
      <c r="L931" s="1000">
        <f>L859</f>
        <v>0</v>
      </c>
      <c r="M931" s="128">
        <f>M859</f>
        <v>0</v>
      </c>
      <c r="N931" s="128">
        <f>N859-M859</f>
        <v>0</v>
      </c>
      <c r="O931" s="128">
        <f>O859-N859</f>
        <v>0</v>
      </c>
      <c r="P931" s="128">
        <f>P859-O859</f>
        <v>0</v>
      </c>
      <c r="Q931" s="1000">
        <f>Q859</f>
        <v>0</v>
      </c>
      <c r="R931" s="128">
        <f>R859</f>
        <v>0</v>
      </c>
      <c r="S931" s="128">
        <f>S859-R859</f>
        <v>0</v>
      </c>
      <c r="T931" s="128">
        <f>T859-S859</f>
        <v>0</v>
      </c>
      <c r="U931" s="128">
        <f>U859-T859</f>
        <v>0</v>
      </c>
      <c r="V931" s="1000">
        <f>V859</f>
        <v>0</v>
      </c>
      <c r="W931" s="128">
        <f>W859</f>
        <v>0</v>
      </c>
      <c r="X931" s="128">
        <f>X859-W859</f>
        <v>0</v>
      </c>
      <c r="Y931" s="128">
        <f>Y859-X859</f>
        <v>0</v>
      </c>
      <c r="Z931" s="128">
        <f>Z859-Y859</f>
        <v>0</v>
      </c>
      <c r="AA931" s="1000">
        <f>AA859</f>
        <v>0</v>
      </c>
      <c r="AB931" s="128">
        <f>AB859</f>
        <v>0</v>
      </c>
      <c r="AC931" s="128">
        <f>AC859-AB859</f>
        <v>0</v>
      </c>
      <c r="AD931" s="128">
        <f>AD859-AC859</f>
        <v>0</v>
      </c>
      <c r="AE931" s="128">
        <f>AE859-AD859</f>
        <v>0</v>
      </c>
      <c r="AF931" s="1000">
        <f>AF859</f>
        <v>0</v>
      </c>
      <c r="AG931" s="128">
        <f>AG859</f>
        <v>0</v>
      </c>
      <c r="AH931" s="128">
        <f>AH859-AG859</f>
        <v>0</v>
      </c>
      <c r="AI931" s="128">
        <f>AI859-AH859</f>
        <v>0</v>
      </c>
      <c r="AJ931" s="128">
        <f>AJ859-AI859</f>
        <v>0</v>
      </c>
      <c r="AK931" s="1000">
        <f>AK859</f>
        <v>0</v>
      </c>
      <c r="AL931" s="128">
        <f>AL859</f>
        <v>0</v>
      </c>
      <c r="AM931" s="128">
        <f>AM859-AL859</f>
        <v>0</v>
      </c>
      <c r="AN931" s="128">
        <f>AN859-AM859</f>
        <v>0</v>
      </c>
      <c r="AO931" s="128">
        <f>AO859-AN859</f>
        <v>0</v>
      </c>
      <c r="AP931" s="1000">
        <f>AP859</f>
        <v>0</v>
      </c>
      <c r="AQ931" s="128">
        <f>AQ859</f>
        <v>89</v>
      </c>
      <c r="AR931" s="128">
        <f>AR859-AQ859</f>
        <v>69</v>
      </c>
      <c r="AS931" s="128">
        <f>AS859-AR859</f>
        <v>-2</v>
      </c>
      <c r="AT931" s="128">
        <f>AT859-AS859</f>
        <v>-156</v>
      </c>
      <c r="AU931" s="1000">
        <f>AU859</f>
        <v>0</v>
      </c>
      <c r="AV931" s="128">
        <f>AV859</f>
        <v>0</v>
      </c>
      <c r="AW931" s="128">
        <f>AW859-AV859</f>
        <v>0</v>
      </c>
      <c r="AX931" s="128">
        <f>AX859-AW859</f>
        <v>0</v>
      </c>
      <c r="AY931" s="128">
        <f>AY859-AX859</f>
        <v>0</v>
      </c>
      <c r="AZ931" s="1000">
        <f>AZ859</f>
        <v>0</v>
      </c>
      <c r="BA931" s="128">
        <f>BA859</f>
        <v>0</v>
      </c>
      <c r="BB931" s="128">
        <f>BB859-BA859</f>
        <v>0</v>
      </c>
      <c r="BC931" s="128">
        <f>BC859-BB859</f>
        <v>0</v>
      </c>
      <c r="BD931" s="128">
        <f>BD859-BC859</f>
        <v>0</v>
      </c>
      <c r="BE931" s="1000">
        <f>BE859</f>
        <v>0</v>
      </c>
      <c r="BF931" s="128">
        <f>BF859</f>
        <v>0</v>
      </c>
      <c r="BG931" s="128">
        <f>BG859-BF859</f>
        <v>0</v>
      </c>
      <c r="BH931" s="465">
        <f>BH859-BG859</f>
        <v>114</v>
      </c>
      <c r="BI931" s="128"/>
      <c r="BJ931" s="1000">
        <f>SUM(BF931,BG931,BH931,BI931)</f>
        <v>114</v>
      </c>
      <c r="BK931" s="128"/>
      <c r="BL931" s="128"/>
      <c r="BM931" s="128"/>
      <c r="BN931" s="128"/>
      <c r="BO931" s="1000"/>
      <c r="BP931" s="1000"/>
      <c r="BQ931" s="1000"/>
      <c r="BR931" s="1000"/>
      <c r="BS931" s="101"/>
    </row>
    <row r="932" spans="1:71" s="131" customFormat="1" ht="15">
      <c r="A932" s="480"/>
      <c r="B932" s="483"/>
      <c r="C932" s="1000"/>
      <c r="D932" s="1000"/>
      <c r="E932" s="1000"/>
      <c r="F932" s="1000"/>
      <c r="G932" s="1000"/>
      <c r="H932" s="128"/>
      <c r="I932" s="128"/>
      <c r="J932" s="128"/>
      <c r="K932" s="128"/>
      <c r="L932" s="1000"/>
      <c r="M932" s="128"/>
      <c r="N932" s="128"/>
      <c r="O932" s="128"/>
      <c r="P932" s="128"/>
      <c r="Q932" s="1000"/>
      <c r="R932" s="128"/>
      <c r="S932" s="128"/>
      <c r="T932" s="128"/>
      <c r="U932" s="128"/>
      <c r="V932" s="1000"/>
      <c r="W932" s="128"/>
      <c r="X932" s="128"/>
      <c r="Y932" s="128"/>
      <c r="Z932" s="128"/>
      <c r="AA932" s="1000"/>
      <c r="AB932" s="128"/>
      <c r="AC932" s="128"/>
      <c r="AD932" s="128"/>
      <c r="AE932" s="128"/>
      <c r="AF932" s="1000"/>
      <c r="AG932" s="128"/>
      <c r="AH932" s="128"/>
      <c r="AI932" s="128"/>
      <c r="AJ932" s="128"/>
      <c r="AK932" s="1000"/>
      <c r="AL932" s="128"/>
      <c r="AM932" s="128"/>
      <c r="AN932" s="128"/>
      <c r="AO932" s="128"/>
      <c r="AP932" s="1000"/>
      <c r="AQ932" s="128"/>
      <c r="AR932" s="128"/>
      <c r="AS932" s="128"/>
      <c r="AT932" s="128"/>
      <c r="AU932" s="1000"/>
      <c r="AV932" s="128"/>
      <c r="AW932" s="128"/>
      <c r="AX932" s="128"/>
      <c r="AY932" s="128"/>
      <c r="AZ932" s="1000"/>
      <c r="BA932" s="128"/>
      <c r="BB932" s="128"/>
      <c r="BC932" s="128"/>
      <c r="BD932" s="128"/>
      <c r="BE932" s="1000"/>
      <c r="BF932" s="128"/>
      <c r="BG932" s="128"/>
      <c r="BH932" s="465"/>
      <c r="BI932" s="128"/>
      <c r="BJ932" s="1000"/>
      <c r="BK932" s="128"/>
      <c r="BL932" s="128"/>
      <c r="BM932" s="128"/>
      <c r="BN932" s="128"/>
      <c r="BO932" s="1000"/>
      <c r="BP932" s="1000"/>
      <c r="BQ932" s="1000"/>
      <c r="BR932" s="1000"/>
      <c r="BS932" s="101"/>
    </row>
    <row r="933" spans="1:71" s="131" customFormat="1" ht="15">
      <c r="A933" s="132" t="str">
        <f>A861</f>
        <v>Beginning Cash Balance</v>
      </c>
      <c r="B933" s="483"/>
      <c r="C933" s="1000">
        <f>C861</f>
        <v>415</v>
      </c>
      <c r="D933" s="1000">
        <f t="shared" si="2565" ref="D933:K933">C934</f>
        <v>612</v>
      </c>
      <c r="E933" s="1000">
        <f t="shared" si="2565"/>
        <v>562</v>
      </c>
      <c r="F933" s="1000">
        <f t="shared" si="2565"/>
        <v>776</v>
      </c>
      <c r="G933" s="1000">
        <f t="shared" si="2565"/>
        <v>806</v>
      </c>
      <c r="H933" s="128">
        <f t="shared" si="2565"/>
        <v>675</v>
      </c>
      <c r="I933" s="128">
        <f t="shared" si="2565"/>
        <v>1170</v>
      </c>
      <c r="J933" s="128">
        <f t="shared" si="2565"/>
        <v>889</v>
      </c>
      <c r="K933" s="128">
        <f t="shared" si="2565"/>
        <v>885</v>
      </c>
      <c r="L933" s="1000">
        <f>G934</f>
        <v>675</v>
      </c>
      <c r="M933" s="128">
        <f>L934</f>
        <v>657</v>
      </c>
      <c r="N933" s="128">
        <f>M934</f>
        <v>916</v>
      </c>
      <c r="O933" s="128">
        <f>N934</f>
        <v>805</v>
      </c>
      <c r="P933" s="128">
        <f>O934</f>
        <v>905</v>
      </c>
      <c r="Q933" s="1000">
        <f>L934</f>
        <v>657</v>
      </c>
      <c r="R933" s="128">
        <f>Q934</f>
        <v>495</v>
      </c>
      <c r="S933" s="128">
        <f>R934</f>
        <v>531</v>
      </c>
      <c r="T933" s="128">
        <f>S934</f>
        <v>446</v>
      </c>
      <c r="U933" s="128">
        <f>T934</f>
        <v>389</v>
      </c>
      <c r="V933" s="1000">
        <f>Q934</f>
        <v>495</v>
      </c>
      <c r="W933" s="128">
        <f>V934</f>
        <v>436</v>
      </c>
      <c r="X933" s="128">
        <f>W934</f>
        <v>442</v>
      </c>
      <c r="Y933" s="128">
        <f>X934</f>
        <v>482</v>
      </c>
      <c r="Z933" s="128">
        <f>Y934</f>
        <v>690</v>
      </c>
      <c r="AA933" s="1000">
        <f>V934</f>
        <v>436</v>
      </c>
      <c r="AB933" s="128">
        <f>AA934</f>
        <v>617</v>
      </c>
      <c r="AC933" s="128">
        <f>AB934</f>
        <v>450</v>
      </c>
      <c r="AD933" s="128">
        <f>AC934</f>
        <v>489</v>
      </c>
      <c r="AE933" s="128">
        <f>AD934</f>
        <v>460</v>
      </c>
      <c r="AF933" s="1000">
        <f>AA934</f>
        <v>617</v>
      </c>
      <c r="AG933" s="128">
        <f>AF934</f>
        <v>499</v>
      </c>
      <c r="AH933" s="128">
        <f>AG934</f>
        <v>551</v>
      </c>
      <c r="AI933" s="128">
        <f>AH934</f>
        <v>599</v>
      </c>
      <c r="AJ933" s="128">
        <f>AI934</f>
        <v>587</v>
      </c>
      <c r="AK933" s="1000">
        <f>AF934</f>
        <v>499</v>
      </c>
      <c r="AL933" s="128">
        <f>AK934</f>
        <v>338</v>
      </c>
      <c r="AM933" s="128">
        <f>AL934</f>
        <v>338</v>
      </c>
      <c r="AN933" s="128">
        <f>AM934</f>
        <v>547</v>
      </c>
      <c r="AO933" s="128">
        <f>AN934</f>
        <v>370</v>
      </c>
      <c r="AP933" s="1000">
        <f>AK934</f>
        <v>338</v>
      </c>
      <c r="AQ933" s="128">
        <f>AP934</f>
        <v>377</v>
      </c>
      <c r="AR933" s="128">
        <f>AQ934</f>
        <v>709</v>
      </c>
      <c r="AS933" s="128">
        <f>AR934</f>
        <v>656</v>
      </c>
      <c r="AT933" s="128">
        <f>AS934</f>
        <v>690</v>
      </c>
      <c r="AU933" s="1000">
        <f>AP934</f>
        <v>377</v>
      </c>
      <c r="AV933" s="128">
        <f>AU934</f>
        <v>763</v>
      </c>
      <c r="AW933" s="128">
        <f>AV934</f>
        <v>1130</v>
      </c>
      <c r="AX933" s="128">
        <f>AW934</f>
        <v>766</v>
      </c>
      <c r="AY933" s="128">
        <f>AX934</f>
        <v>786</v>
      </c>
      <c r="AZ933" s="1000">
        <f>AU934</f>
        <v>763</v>
      </c>
      <c r="BA933" s="128">
        <f>AZ934</f>
        <v>736</v>
      </c>
      <c r="BB933" s="128">
        <f>BA934</f>
        <v>662</v>
      </c>
      <c r="BC933" s="128">
        <f>BB934</f>
        <v>699</v>
      </c>
      <c r="BD933" s="128">
        <f>BC934</f>
        <v>860</v>
      </c>
      <c r="BE933" s="1000">
        <f>AZ934</f>
        <v>736</v>
      </c>
      <c r="BF933" s="128">
        <f>BE934</f>
        <v>722</v>
      </c>
      <c r="BG933" s="128">
        <f>BF934</f>
        <v>850</v>
      </c>
      <c r="BH933" s="465">
        <f>BG934</f>
        <v>599</v>
      </c>
      <c r="BI933" s="128">
        <f>BH934</f>
        <v>816</v>
      </c>
      <c r="BJ933" s="1000">
        <f>BE934</f>
        <v>722</v>
      </c>
      <c r="BK933" s="128">
        <f ca="1">BJ934</f>
        <v>10465.162581004097</v>
      </c>
      <c r="BL933" s="128">
        <f ca="1">BK934</f>
        <v>7923.185520130126</v>
      </c>
      <c r="BM933" s="128">
        <f ca="1">BL934</f>
        <v>10291.663286250667</v>
      </c>
      <c r="BN933" s="128">
        <f ca="1">BM934</f>
        <v>7993.8056577575335</v>
      </c>
      <c r="BO933" s="1000">
        <f ca="1">BJ934</f>
        <v>10465.162581004097</v>
      </c>
      <c r="BP933" s="1000">
        <f ca="1">BO934</f>
        <v>18116.970874861971</v>
      </c>
      <c r="BQ933" s="1000">
        <f ca="1">BP934</f>
        <v>24698.552832424335</v>
      </c>
      <c r="BR933" s="1000">
        <f ca="1">BQ934</f>
        <v>31625.269388986671</v>
      </c>
      <c r="BS933" s="101"/>
    </row>
    <row r="934" spans="1:71" s="131" customFormat="1" ht="15">
      <c r="A934" s="132" t="str">
        <f>A862</f>
        <v>Ending Cash Balance</v>
      </c>
      <c r="B934" s="483"/>
      <c r="C934" s="1000">
        <f t="shared" si="2566" ref="C934:AK934">C933+C930</f>
        <v>612</v>
      </c>
      <c r="D934" s="1000">
        <f t="shared" si="2566"/>
        <v>562</v>
      </c>
      <c r="E934" s="1000">
        <f t="shared" si="2566"/>
        <v>776</v>
      </c>
      <c r="F934" s="1000">
        <f t="shared" si="2566"/>
        <v>806</v>
      </c>
      <c r="G934" s="1000">
        <f t="shared" si="2566"/>
        <v>675</v>
      </c>
      <c r="H934" s="128">
        <f t="shared" si="2566"/>
        <v>1170</v>
      </c>
      <c r="I934" s="128">
        <f t="shared" si="2566"/>
        <v>889</v>
      </c>
      <c r="J934" s="128">
        <f t="shared" si="2566"/>
        <v>885</v>
      </c>
      <c r="K934" s="128">
        <f t="shared" si="2566"/>
        <v>657</v>
      </c>
      <c r="L934" s="1000">
        <f t="shared" si="2566"/>
        <v>657</v>
      </c>
      <c r="M934" s="128">
        <f t="shared" si="2566"/>
        <v>916</v>
      </c>
      <c r="N934" s="128">
        <f t="shared" si="2566"/>
        <v>805</v>
      </c>
      <c r="O934" s="128">
        <f t="shared" si="2566"/>
        <v>905</v>
      </c>
      <c r="P934" s="128">
        <f t="shared" si="2566"/>
        <v>495</v>
      </c>
      <c r="Q934" s="1000">
        <f t="shared" si="2566"/>
        <v>495</v>
      </c>
      <c r="R934" s="128">
        <f t="shared" si="2566"/>
        <v>531</v>
      </c>
      <c r="S934" s="128">
        <f t="shared" si="2566"/>
        <v>446</v>
      </c>
      <c r="T934" s="128">
        <f t="shared" si="2566"/>
        <v>389</v>
      </c>
      <c r="U934" s="128">
        <f t="shared" si="2566"/>
        <v>436</v>
      </c>
      <c r="V934" s="1000">
        <f t="shared" si="2566"/>
        <v>436</v>
      </c>
      <c r="W934" s="128">
        <f t="shared" si="2566"/>
        <v>442</v>
      </c>
      <c r="X934" s="128">
        <f t="shared" si="2566"/>
        <v>482</v>
      </c>
      <c r="Y934" s="128">
        <f t="shared" si="2566"/>
        <v>690</v>
      </c>
      <c r="Z934" s="128">
        <f t="shared" si="2566"/>
        <v>617</v>
      </c>
      <c r="AA934" s="1000">
        <f t="shared" si="2566"/>
        <v>617</v>
      </c>
      <c r="AB934" s="128">
        <f t="shared" si="2566"/>
        <v>450</v>
      </c>
      <c r="AC934" s="128">
        <f t="shared" si="2566"/>
        <v>489</v>
      </c>
      <c r="AD934" s="128">
        <f t="shared" si="2566"/>
        <v>460</v>
      </c>
      <c r="AE934" s="128">
        <f t="shared" si="2566"/>
        <v>499</v>
      </c>
      <c r="AF934" s="1000">
        <f t="shared" si="2566"/>
        <v>499</v>
      </c>
      <c r="AG934" s="128">
        <f t="shared" si="2566"/>
        <v>551</v>
      </c>
      <c r="AH934" s="128">
        <f t="shared" si="2566"/>
        <v>599</v>
      </c>
      <c r="AI934" s="128">
        <f t="shared" si="2566"/>
        <v>587</v>
      </c>
      <c r="AJ934" s="128">
        <f t="shared" si="2566"/>
        <v>338</v>
      </c>
      <c r="AK934" s="1000">
        <f t="shared" si="2566"/>
        <v>338</v>
      </c>
      <c r="AL934" s="128">
        <f>AL933+AL930</f>
        <v>338</v>
      </c>
      <c r="AM934" s="128">
        <f>AM933+AM930</f>
        <v>547</v>
      </c>
      <c r="AN934" s="128">
        <f>AN933+AN930</f>
        <v>370</v>
      </c>
      <c r="AO934" s="128">
        <f t="shared" si="2567" ref="AO934:AP934">AO933+AO930</f>
        <v>377</v>
      </c>
      <c r="AP934" s="1000">
        <f t="shared" si="2567"/>
        <v>377</v>
      </c>
      <c r="AQ934" s="128">
        <f t="shared" si="2568" ref="AQ934:AV934">AQ933+AQ930-AQ931</f>
        <v>709</v>
      </c>
      <c r="AR934" s="128">
        <f t="shared" si="2568"/>
        <v>656</v>
      </c>
      <c r="AS934" s="128">
        <f t="shared" si="2568"/>
        <v>690</v>
      </c>
      <c r="AT934" s="128">
        <f t="shared" si="2568"/>
        <v>763</v>
      </c>
      <c r="AU934" s="1000">
        <f t="shared" si="2568"/>
        <v>763</v>
      </c>
      <c r="AV934" s="128">
        <f t="shared" si="2568"/>
        <v>1130</v>
      </c>
      <c r="AW934" s="128">
        <f t="shared" si="2569" ref="AW934">AW933+AW930-AW931</f>
        <v>766</v>
      </c>
      <c r="AX934" s="128">
        <f>AX933+AX930-AX931</f>
        <v>786</v>
      </c>
      <c r="AY934" s="128">
        <f t="shared" si="2570" ref="AY934:AZ934">AY933+AY930-AY931</f>
        <v>736</v>
      </c>
      <c r="AZ934" s="1000">
        <f t="shared" si="2570"/>
        <v>736</v>
      </c>
      <c r="BA934" s="128">
        <f>BA933+BA930-BA931</f>
        <v>662</v>
      </c>
      <c r="BB934" s="128">
        <f>BB933+BB930-BB931</f>
        <v>699</v>
      </c>
      <c r="BC934" s="128">
        <f>BC933+BC930-BC931</f>
        <v>860</v>
      </c>
      <c r="BD934" s="128">
        <f t="shared" si="2571" ref="BD934:BE934">BD933+BD930-BD931</f>
        <v>722</v>
      </c>
      <c r="BE934" s="1000">
        <f t="shared" si="2571"/>
        <v>722</v>
      </c>
      <c r="BF934" s="128">
        <f>BF933+BF930-BF931</f>
        <v>850</v>
      </c>
      <c r="BG934" s="128">
        <f>BG933+BG930-BG931</f>
        <v>599</v>
      </c>
      <c r="BH934" s="465">
        <f>BH933+BH930-BH931</f>
        <v>816</v>
      </c>
      <c r="BI934" s="128">
        <f ca="1" t="shared" si="2572" ref="BI934:BR934">BI933+BI930-BI931</f>
        <v>10465.162581004097</v>
      </c>
      <c r="BJ934" s="1000">
        <f t="shared" ca="1" si="2572"/>
        <v>10465.162581004097</v>
      </c>
      <c r="BK934" s="128">
        <f t="shared" ca="1" si="2572"/>
        <v>7923.185520130126</v>
      </c>
      <c r="BL934" s="128">
        <f t="shared" ca="1" si="2572"/>
        <v>10291.663286250667</v>
      </c>
      <c r="BM934" s="128">
        <f t="shared" ca="1" si="2572"/>
        <v>7993.8056577575335</v>
      </c>
      <c r="BN934" s="128">
        <f t="shared" ca="1" si="2572"/>
        <v>18116.970874861974</v>
      </c>
      <c r="BO934" s="1000">
        <f t="shared" ca="1" si="2572"/>
        <v>18116.970874861971</v>
      </c>
      <c r="BP934" s="1000">
        <f t="shared" ca="1" si="2572"/>
        <v>24698.552832424335</v>
      </c>
      <c r="BQ934" s="1000">
        <f t="shared" ca="1" si="2572"/>
        <v>31625.269388986671</v>
      </c>
      <c r="BR934" s="1000">
        <f t="shared" ca="1" si="2572"/>
        <v>38740.422724549368</v>
      </c>
      <c r="BS934" s="101"/>
    </row>
    <row r="935" spans="1:71" s="85" customFormat="1" ht="15">
      <c r="A935" s="620"/>
      <c r="B935" s="166"/>
      <c r="C935" s="989"/>
      <c r="D935" s="989"/>
      <c r="E935" s="989"/>
      <c r="F935" s="989"/>
      <c r="G935" s="989"/>
      <c r="H935" s="92"/>
      <c r="I935" s="92"/>
      <c r="J935" s="92"/>
      <c r="K935" s="92"/>
      <c r="L935" s="989"/>
      <c r="M935" s="92"/>
      <c r="N935" s="92"/>
      <c r="O935" s="92"/>
      <c r="P935" s="92"/>
      <c r="Q935" s="989"/>
      <c r="R935" s="92"/>
      <c r="S935" s="92"/>
      <c r="T935" s="92"/>
      <c r="U935" s="92"/>
      <c r="V935" s="989"/>
      <c r="W935" s="92"/>
      <c r="X935" s="92"/>
      <c r="Y935" s="92"/>
      <c r="Z935" s="92"/>
      <c r="AA935" s="989"/>
      <c r="AB935" s="92"/>
      <c r="AC935" s="92"/>
      <c r="AD935" s="92"/>
      <c r="AE935" s="92"/>
      <c r="AF935" s="989"/>
      <c r="AG935" s="92"/>
      <c r="AH935" s="92"/>
      <c r="AI935" s="92"/>
      <c r="AJ935" s="92"/>
      <c r="AK935" s="989"/>
      <c r="AL935" s="92"/>
      <c r="AM935" s="92"/>
      <c r="AN935" s="92"/>
      <c r="AO935" s="92"/>
      <c r="AP935" s="989"/>
      <c r="AQ935" s="92"/>
      <c r="AR935" s="92"/>
      <c r="AS935" s="92"/>
      <c r="AT935" s="92"/>
      <c r="AU935" s="989"/>
      <c r="AV935" s="92"/>
      <c r="AW935" s="92"/>
      <c r="AX935" s="92"/>
      <c r="AY935" s="92"/>
      <c r="AZ935" s="989"/>
      <c r="BA935" s="92"/>
      <c r="BB935" s="92"/>
      <c r="BC935" s="92"/>
      <c r="BD935" s="92"/>
      <c r="BE935" s="989"/>
      <c r="BF935" s="92"/>
      <c r="BG935" s="92"/>
      <c r="BH935" s="464"/>
      <c r="BI935" s="92"/>
      <c r="BJ935" s="989"/>
      <c r="BK935" s="92"/>
      <c r="BL935" s="92"/>
      <c r="BM935" s="92"/>
      <c r="BN935" s="92"/>
      <c r="BO935" s="989"/>
      <c r="BP935" s="989"/>
      <c r="BQ935" s="989"/>
      <c r="BR935" s="989"/>
      <c r="BS935" s="84"/>
    </row>
    <row r="936" spans="1:71" s="85" customFormat="1" ht="15">
      <c r="A936" s="645" t="str">
        <f>A864</f>
        <v>Cash paid on interest</v>
      </c>
      <c r="B936" s="166"/>
      <c r="C936" s="989">
        <f t="shared" si="2573" ref="C936:G937">C864</f>
        <v>383</v>
      </c>
      <c r="D936" s="989">
        <f t="shared" si="2573"/>
        <v>363</v>
      </c>
      <c r="E936" s="989">
        <f t="shared" si="2573"/>
        <v>363</v>
      </c>
      <c r="F936" s="989">
        <f t="shared" si="2573"/>
        <v>366</v>
      </c>
      <c r="G936" s="989">
        <f t="shared" si="2573"/>
        <v>361</v>
      </c>
      <c r="H936" s="92"/>
      <c r="I936" s="92"/>
      <c r="J936" s="92"/>
      <c r="K936" s="92"/>
      <c r="L936" s="989">
        <f>L864</f>
        <v>332</v>
      </c>
      <c r="M936" s="92"/>
      <c r="N936" s="92"/>
      <c r="O936" s="92"/>
      <c r="P936" s="92"/>
      <c r="Q936" s="989">
        <f>Q864</f>
        <v>289</v>
      </c>
      <c r="R936" s="92"/>
      <c r="S936" s="92"/>
      <c r="T936" s="92"/>
      <c r="U936" s="92"/>
      <c r="V936" s="989">
        <f>V864</f>
        <v>287</v>
      </c>
      <c r="W936" s="92"/>
      <c r="X936" s="92"/>
      <c r="Y936" s="92"/>
      <c r="Z936" s="92"/>
      <c r="AA936" s="989">
        <f>AA864</f>
        <v>332</v>
      </c>
      <c r="AB936" s="92"/>
      <c r="AC936" s="92"/>
      <c r="AD936" s="92"/>
      <c r="AE936" s="92"/>
      <c r="AF936" s="989">
        <f>AF864</f>
        <v>330</v>
      </c>
      <c r="AG936" s="92"/>
      <c r="AH936" s="92"/>
      <c r="AI936" s="92"/>
      <c r="AJ936" s="92"/>
      <c r="AK936" s="989">
        <f>AK864</f>
        <v>312</v>
      </c>
      <c r="AL936" s="92"/>
      <c r="AM936" s="92"/>
      <c r="AN936" s="92"/>
      <c r="AO936" s="92"/>
      <c r="AP936" s="993">
        <f>AP864</f>
        <v>311</v>
      </c>
      <c r="AQ936" s="92"/>
      <c r="AR936" s="92"/>
      <c r="AS936" s="92"/>
      <c r="AT936" s="92"/>
      <c r="AU936" s="989">
        <f>AU864</f>
        <v>321</v>
      </c>
      <c r="AV936" s="92"/>
      <c r="AW936" s="92"/>
      <c r="AX936" s="92"/>
      <c r="AY936" s="92"/>
      <c r="AZ936" s="989">
        <f>AZ864</f>
        <v>323</v>
      </c>
      <c r="BA936" s="92"/>
      <c r="BB936" s="92"/>
      <c r="BC936" s="92"/>
      <c r="BD936" s="92"/>
      <c r="BE936" s="993">
        <f>BE864</f>
        <v>355</v>
      </c>
      <c r="BF936" s="92"/>
      <c r="BG936" s="92"/>
      <c r="BH936" s="464"/>
      <c r="BI936" s="92"/>
      <c r="BJ936" s="989"/>
      <c r="BK936" s="92"/>
      <c r="BL936" s="92"/>
      <c r="BM936" s="92"/>
      <c r="BN936" s="92"/>
      <c r="BO936" s="989"/>
      <c r="BP936" s="989"/>
      <c r="BQ936" s="989"/>
      <c r="BR936" s="989"/>
      <c r="BS936" s="84"/>
    </row>
    <row r="937" spans="1:71" s="85" customFormat="1" ht="15">
      <c r="A937" s="645" t="str">
        <f>A865</f>
        <v>Cash paid (refunded) on taxes</v>
      </c>
      <c r="B937" s="166"/>
      <c r="C937" s="989">
        <f t="shared" si="2573"/>
        <v>-1250</v>
      </c>
      <c r="D937" s="989">
        <f t="shared" si="2573"/>
        <v>-8</v>
      </c>
      <c r="E937" s="989">
        <f t="shared" si="2573"/>
        <v>32</v>
      </c>
      <c r="F937" s="989">
        <f t="shared" si="2573"/>
        <v>280</v>
      </c>
      <c r="G937" s="989">
        <f t="shared" si="2573"/>
        <v>500</v>
      </c>
      <c r="H937" s="92"/>
      <c r="I937" s="92"/>
      <c r="J937" s="92"/>
      <c r="K937" s="92"/>
      <c r="L937" s="989">
        <f>L865</f>
        <v>1070</v>
      </c>
      <c r="M937" s="92"/>
      <c r="N937" s="92"/>
      <c r="O937" s="92"/>
      <c r="P937" s="92"/>
      <c r="Q937" s="989">
        <f>Q865</f>
        <v>1070</v>
      </c>
      <c r="R937" s="92"/>
      <c r="S937" s="92"/>
      <c r="T937" s="92"/>
      <c r="U937" s="92"/>
      <c r="V937" s="989">
        <f>V865</f>
        <v>359</v>
      </c>
      <c r="W937" s="92"/>
      <c r="X937" s="92"/>
      <c r="Y937" s="92"/>
      <c r="Z937" s="92"/>
      <c r="AA937" s="989">
        <f>AA865</f>
        <v>968</v>
      </c>
      <c r="AB937" s="92"/>
      <c r="AC937" s="92"/>
      <c r="AD937" s="92"/>
      <c r="AE937" s="92"/>
      <c r="AF937" s="989">
        <f>AF865</f>
        <v>731</v>
      </c>
      <c r="AG937" s="92"/>
      <c r="AH937" s="92"/>
      <c r="AI937" s="92"/>
      <c r="AJ937" s="92"/>
      <c r="AK937" s="989">
        <f>AK865</f>
        <v>648</v>
      </c>
      <c r="AL937" s="92"/>
      <c r="AM937" s="92"/>
      <c r="AN937" s="92"/>
      <c r="AO937" s="92"/>
      <c r="AP937" s="993">
        <f>AP865</f>
        <v>1480</v>
      </c>
      <c r="AQ937" s="92"/>
      <c r="AR937" s="92"/>
      <c r="AS937" s="92"/>
      <c r="AT937" s="92"/>
      <c r="AU937" s="989">
        <f>AU865</f>
        <v>1050</v>
      </c>
      <c r="AV937" s="92"/>
      <c r="AW937" s="92"/>
      <c r="AX937" s="92"/>
      <c r="AY937" s="92"/>
      <c r="AZ937" s="989">
        <f>AZ865</f>
        <v>95</v>
      </c>
      <c r="BA937" s="92"/>
      <c r="BB937" s="92"/>
      <c r="BC937" s="92"/>
      <c r="BD937" s="92"/>
      <c r="BE937" s="993">
        <f>BE865</f>
        <v>45</v>
      </c>
      <c r="BF937" s="92"/>
      <c r="BG937" s="92"/>
      <c r="BH937" s="464"/>
      <c r="BI937" s="92"/>
      <c r="BJ937" s="989"/>
      <c r="BK937" s="92"/>
      <c r="BL937" s="92"/>
      <c r="BM937" s="92"/>
      <c r="BN937" s="92"/>
      <c r="BO937" s="989"/>
      <c r="BP937" s="989"/>
      <c r="BQ937" s="989"/>
      <c r="BR937" s="989"/>
      <c r="BS937" s="84"/>
    </row>
    <row r="938" spans="1:71" s="51" customFormat="1" ht="15">
      <c r="A938" s="480"/>
      <c r="B938" s="483"/>
      <c r="C938" s="1000"/>
      <c r="D938" s="1000"/>
      <c r="E938" s="1000"/>
      <c r="F938" s="1000"/>
      <c r="G938" s="1000"/>
      <c r="H938" s="128"/>
      <c r="I938" s="128"/>
      <c r="J938" s="128"/>
      <c r="K938" s="128"/>
      <c r="L938" s="1000"/>
      <c r="M938" s="128"/>
      <c r="N938" s="128"/>
      <c r="O938" s="128"/>
      <c r="P938" s="128"/>
      <c r="Q938" s="1000"/>
      <c r="R938" s="128"/>
      <c r="S938" s="128"/>
      <c r="T938" s="128"/>
      <c r="U938" s="128"/>
      <c r="V938" s="1000"/>
      <c r="W938" s="128"/>
      <c r="X938" s="128"/>
      <c r="Y938" s="128"/>
      <c r="Z938" s="128"/>
      <c r="AA938" s="1000"/>
      <c r="AB938" s="128"/>
      <c r="AC938" s="128"/>
      <c r="AD938" s="128"/>
      <c r="AE938" s="128"/>
      <c r="AF938" s="1000"/>
      <c r="AG938" s="128"/>
      <c r="AH938" s="128"/>
      <c r="AI938" s="128"/>
      <c r="AJ938" s="128"/>
      <c r="AK938" s="1000"/>
      <c r="AL938" s="128"/>
      <c r="AM938" s="128"/>
      <c r="AN938" s="128"/>
      <c r="AO938" s="128"/>
      <c r="AP938" s="1000"/>
      <c r="AQ938" s="128"/>
      <c r="AR938" s="128"/>
      <c r="AS938" s="128"/>
      <c r="AT938" s="128"/>
      <c r="AU938" s="1000"/>
      <c r="AV938" s="128"/>
      <c r="AW938" s="128"/>
      <c r="AX938" s="128"/>
      <c r="AY938" s="128"/>
      <c r="AZ938" s="1000"/>
      <c r="BA938" s="128"/>
      <c r="BB938" s="128"/>
      <c r="BC938" s="128"/>
      <c r="BD938" s="128"/>
      <c r="BE938" s="1000"/>
      <c r="BF938" s="128"/>
      <c r="BG938" s="128"/>
      <c r="BH938" s="465"/>
      <c r="BI938" s="128"/>
      <c r="BJ938" s="1000"/>
      <c r="BK938" s="128"/>
      <c r="BL938" s="128"/>
      <c r="BM938" s="128"/>
      <c r="BN938" s="128"/>
      <c r="BO938" s="1000"/>
      <c r="BP938" s="1000"/>
      <c r="BQ938" s="1000"/>
      <c r="BR938" s="1000"/>
      <c r="BS938" s="57"/>
    </row>
    <row r="939" spans="1:71" s="300" customFormat="1" ht="15">
      <c r="A939" s="99" t="s">
        <v>167</v>
      </c>
      <c r="B939" s="99"/>
      <c r="C939" s="103">
        <f t="shared" si="2574" ref="C939:AU939">ROUND(C934-C950,6)</f>
        <v>0</v>
      </c>
      <c r="D939" s="103">
        <f t="shared" si="2574"/>
        <v>0</v>
      </c>
      <c r="E939" s="103">
        <f t="shared" si="2574"/>
        <v>0</v>
      </c>
      <c r="F939" s="103">
        <f t="shared" si="2574"/>
        <v>0</v>
      </c>
      <c r="G939" s="103">
        <f t="shared" si="2574"/>
        <v>0</v>
      </c>
      <c r="H939" s="103">
        <f t="shared" si="2574"/>
        <v>0</v>
      </c>
      <c r="I939" s="103">
        <f t="shared" si="2574"/>
        <v>0</v>
      </c>
      <c r="J939" s="103">
        <f t="shared" si="2574"/>
        <v>0</v>
      </c>
      <c r="K939" s="103">
        <f t="shared" si="2574"/>
        <v>0</v>
      </c>
      <c r="L939" s="103">
        <f t="shared" si="2574"/>
        <v>0</v>
      </c>
      <c r="M939" s="103">
        <f t="shared" si="2574"/>
        <v>0</v>
      </c>
      <c r="N939" s="103">
        <f t="shared" si="2574"/>
        <v>0</v>
      </c>
      <c r="O939" s="103">
        <f t="shared" si="2574"/>
        <v>0</v>
      </c>
      <c r="P939" s="103">
        <f t="shared" si="2574"/>
        <v>0</v>
      </c>
      <c r="Q939" s="103">
        <f t="shared" si="2574"/>
        <v>0</v>
      </c>
      <c r="R939" s="103">
        <f t="shared" si="2574"/>
        <v>0</v>
      </c>
      <c r="S939" s="103">
        <f t="shared" si="2574"/>
        <v>0</v>
      </c>
      <c r="T939" s="103">
        <f t="shared" si="2574"/>
        <v>0</v>
      </c>
      <c r="U939" s="103">
        <f t="shared" si="2574"/>
        <v>0</v>
      </c>
      <c r="V939" s="103">
        <f t="shared" si="2574"/>
        <v>0</v>
      </c>
      <c r="W939" s="103">
        <f t="shared" si="2574"/>
        <v>0</v>
      </c>
      <c r="X939" s="103">
        <f t="shared" si="2574"/>
        <v>0</v>
      </c>
      <c r="Y939" s="103">
        <f t="shared" si="2574"/>
        <v>0</v>
      </c>
      <c r="Z939" s="103">
        <f t="shared" si="2574"/>
        <v>0</v>
      </c>
      <c r="AA939" s="103">
        <f t="shared" si="2574"/>
        <v>0</v>
      </c>
      <c r="AB939" s="103">
        <f t="shared" si="2574"/>
        <v>0</v>
      </c>
      <c r="AC939" s="103">
        <f t="shared" si="2574"/>
        <v>0</v>
      </c>
      <c r="AD939" s="103">
        <f t="shared" si="2574"/>
        <v>0</v>
      </c>
      <c r="AE939" s="103">
        <f t="shared" si="2574"/>
        <v>0</v>
      </c>
      <c r="AF939" s="103">
        <f t="shared" si="2574"/>
        <v>0</v>
      </c>
      <c r="AG939" s="103">
        <f t="shared" si="2574"/>
        <v>0</v>
      </c>
      <c r="AH939" s="103">
        <f t="shared" si="2574"/>
        <v>0</v>
      </c>
      <c r="AI939" s="103">
        <f t="shared" si="2574"/>
        <v>0</v>
      </c>
      <c r="AJ939" s="103">
        <f t="shared" si="2574"/>
        <v>0</v>
      </c>
      <c r="AK939" s="103">
        <f t="shared" si="2574"/>
        <v>0</v>
      </c>
      <c r="AL939" s="103">
        <f>ROUND(AL934-AL950,6)</f>
        <v>0</v>
      </c>
      <c r="AM939" s="103">
        <f>ROUND(AM934-AM950,6)</f>
        <v>0</v>
      </c>
      <c r="AN939" s="103">
        <f>ROUND(AN934-AN950,6)</f>
        <v>0</v>
      </c>
      <c r="AO939" s="103">
        <f t="shared" si="2574"/>
        <v>0</v>
      </c>
      <c r="AP939" s="103">
        <f t="shared" si="2574"/>
        <v>0</v>
      </c>
      <c r="AQ939" s="103">
        <f>ROUND(AQ934-AQ950,6)</f>
        <v>0</v>
      </c>
      <c r="AR939" s="103">
        <f>ROUND(AR934-AR950,6)</f>
        <v>0</v>
      </c>
      <c r="AS939" s="103">
        <f>ROUND(AS934-AS950,6)</f>
        <v>0</v>
      </c>
      <c r="AT939" s="103">
        <f t="shared" si="2574"/>
        <v>0</v>
      </c>
      <c r="AU939" s="103">
        <f t="shared" si="2574"/>
        <v>0</v>
      </c>
      <c r="AV939" s="103">
        <f t="shared" si="2575" ref="AV939:BJ939">ROUND(AV934-AV950,6)</f>
        <v>0</v>
      </c>
      <c r="AW939" s="103">
        <f t="shared" si="2575"/>
        <v>0</v>
      </c>
      <c r="AX939" s="103">
        <f t="shared" si="2575"/>
        <v>0</v>
      </c>
      <c r="AY939" s="103">
        <f t="shared" si="2575"/>
        <v>0</v>
      </c>
      <c r="AZ939" s="103">
        <f t="shared" si="2575"/>
        <v>0</v>
      </c>
      <c r="BA939" s="103">
        <f>ROUND(BA934-BA950,6)</f>
        <v>0</v>
      </c>
      <c r="BB939" s="103">
        <f>ROUND(BB934-BB950,6)</f>
        <v>0</v>
      </c>
      <c r="BC939" s="103">
        <f>ROUND(BC934-BC950,6)</f>
        <v>0</v>
      </c>
      <c r="BD939" s="103">
        <f t="shared" si="2575"/>
        <v>0</v>
      </c>
      <c r="BE939" s="103">
        <f t="shared" si="2575"/>
        <v>0</v>
      </c>
      <c r="BF939" s="103">
        <f>ROUND(BF934-BF950,6)</f>
        <v>0</v>
      </c>
      <c r="BG939" s="103">
        <f>ROUND(BG934-BG950,6)</f>
        <v>0</v>
      </c>
      <c r="BH939" s="450">
        <f>ROUND(BH934-BH950,6)</f>
        <v>0</v>
      </c>
      <c r="BI939" s="103">
        <f ca="1">ROUND(BI934-BI950,6)</f>
        <v>0</v>
      </c>
      <c r="BJ939" s="103">
        <f t="shared" ca="1" si="2575"/>
        <v>0</v>
      </c>
      <c r="BK939" s="103">
        <f ca="1" t="shared" si="2576" ref="BK939:BR939">ROUND(BK934-BK950,6)</f>
        <v>0</v>
      </c>
      <c r="BL939" s="103">
        <f t="shared" ca="1" si="2576"/>
        <v>0</v>
      </c>
      <c r="BM939" s="103">
        <f t="shared" ca="1" si="2576"/>
        <v>0</v>
      </c>
      <c r="BN939" s="103">
        <f t="shared" ca="1" si="2576"/>
        <v>0</v>
      </c>
      <c r="BO939" s="103">
        <f t="shared" ca="1" si="2576"/>
        <v>0</v>
      </c>
      <c r="BP939" s="103">
        <f t="shared" ca="1" si="2576"/>
        <v>0</v>
      </c>
      <c r="BQ939" s="103">
        <f t="shared" ca="1" si="2576"/>
        <v>0</v>
      </c>
      <c r="BR939" s="103">
        <f t="shared" ca="1" si="2576"/>
        <v>0</v>
      </c>
      <c r="BS939" s="305"/>
    </row>
    <row r="940" spans="1:71" s="51" customFormat="1" ht="15">
      <c r="A940" s="480"/>
      <c r="B940" s="483"/>
      <c r="C940" s="1000"/>
      <c r="D940" s="1000"/>
      <c r="E940" s="1000"/>
      <c r="F940" s="1000"/>
      <c r="G940" s="1000"/>
      <c r="H940" s="128"/>
      <c r="I940" s="128"/>
      <c r="J940" s="128"/>
      <c r="K940" s="128"/>
      <c r="L940" s="1000"/>
      <c r="M940" s="128"/>
      <c r="N940" s="128"/>
      <c r="O940" s="128"/>
      <c r="P940" s="128"/>
      <c r="Q940" s="1000"/>
      <c r="R940" s="128"/>
      <c r="S940" s="128"/>
      <c r="T940" s="128"/>
      <c r="U940" s="128"/>
      <c r="V940" s="1000"/>
      <c r="W940" s="128"/>
      <c r="X940" s="128"/>
      <c r="Y940" s="128"/>
      <c r="Z940" s="128"/>
      <c r="AA940" s="1000"/>
      <c r="AB940" s="128"/>
      <c r="AC940" s="128"/>
      <c r="AD940" s="128"/>
      <c r="AE940" s="128"/>
      <c r="AF940" s="1000"/>
      <c r="AG940" s="128"/>
      <c r="AH940" s="128"/>
      <c r="AI940" s="128"/>
      <c r="AJ940" s="128"/>
      <c r="AK940" s="1000"/>
      <c r="AL940" s="128"/>
      <c r="AM940" s="128"/>
      <c r="AN940" s="128"/>
      <c r="AO940" s="128"/>
      <c r="AP940" s="1000"/>
      <c r="AQ940" s="128"/>
      <c r="AR940" s="128"/>
      <c r="AS940" s="128"/>
      <c r="AT940" s="128"/>
      <c r="AU940" s="1000"/>
      <c r="AV940" s="128"/>
      <c r="AW940" s="128"/>
      <c r="AX940" s="128"/>
      <c r="AY940" s="128"/>
      <c r="AZ940" s="1000"/>
      <c r="BA940" s="128"/>
      <c r="BB940" s="128"/>
      <c r="BC940" s="128"/>
      <c r="BD940" s="128"/>
      <c r="BE940" s="1000"/>
      <c r="BF940" s="128"/>
      <c r="BG940" s="128"/>
      <c r="BH940" s="465"/>
      <c r="BI940" s="128"/>
      <c r="BJ940" s="1000"/>
      <c r="BK940" s="128"/>
      <c r="BL940" s="128"/>
      <c r="BM940" s="128"/>
      <c r="BN940" s="128"/>
      <c r="BO940" s="1000"/>
      <c r="BP940" s="1000"/>
      <c r="BQ940" s="1000"/>
      <c r="BR940" s="1000"/>
      <c r="BS940" s="57"/>
    </row>
    <row r="941" spans="1:71" s="17" customFormat="1" ht="15">
      <c r="A941" s="818" t="s">
        <v>168</v>
      </c>
      <c r="B941" s="818"/>
      <c r="C941" s="837"/>
      <c r="D941" s="837"/>
      <c r="E941" s="837"/>
      <c r="F941" s="837"/>
      <c r="G941" s="837"/>
      <c r="H941" s="837"/>
      <c r="I941" s="837"/>
      <c r="J941" s="837"/>
      <c r="K941" s="837"/>
      <c r="L941" s="837"/>
      <c r="M941" s="837"/>
      <c r="N941" s="837"/>
      <c r="O941" s="837"/>
      <c r="P941" s="837"/>
      <c r="Q941" s="837"/>
      <c r="R941" s="837"/>
      <c r="S941" s="837"/>
      <c r="T941" s="837"/>
      <c r="U941" s="837"/>
      <c r="V941" s="837"/>
      <c r="W941" s="837"/>
      <c r="X941" s="837"/>
      <c r="Y941" s="837"/>
      <c r="Z941" s="837"/>
      <c r="AA941" s="837"/>
      <c r="AB941" s="837"/>
      <c r="AC941" s="837"/>
      <c r="AD941" s="837"/>
      <c r="AE941" s="837"/>
      <c r="AF941" s="837"/>
      <c r="AG941" s="837"/>
      <c r="AH941" s="837"/>
      <c r="AI941" s="837"/>
      <c r="AJ941" s="837"/>
      <c r="AK941" s="837"/>
      <c r="AL941" s="837"/>
      <c r="AM941" s="837"/>
      <c r="AN941" s="837"/>
      <c r="AO941" s="837"/>
      <c r="AP941" s="837"/>
      <c r="AQ941" s="837"/>
      <c r="AR941" s="837"/>
      <c r="AS941" s="837"/>
      <c r="AT941" s="837"/>
      <c r="AU941" s="837"/>
      <c r="AV941" s="859" t="s">
        <v>904</v>
      </c>
      <c r="AW941" s="859" t="s">
        <v>904</v>
      </c>
      <c r="AX941" s="859" t="s">
        <v>904</v>
      </c>
      <c r="AY941" s="859" t="s">
        <v>904</v>
      </c>
      <c r="AZ941" s="859" t="s">
        <v>904</v>
      </c>
      <c r="BA941" s="837"/>
      <c r="BB941" s="837"/>
      <c r="BC941" s="837"/>
      <c r="BD941" s="837"/>
      <c r="BE941" s="837"/>
      <c r="BF941" s="837"/>
      <c r="BG941" s="837"/>
      <c r="BH941" s="838"/>
      <c r="BI941" s="837"/>
      <c r="BJ941" s="837"/>
      <c r="BK941" s="837"/>
      <c r="BL941" s="837"/>
      <c r="BM941" s="837"/>
      <c r="BN941" s="837"/>
      <c r="BO941" s="837"/>
      <c r="BP941" s="837"/>
      <c r="BQ941" s="837"/>
      <c r="BR941" s="837"/>
      <c r="BS941" s="457"/>
    </row>
    <row r="942" spans="1:71" s="17" customFormat="1" ht="15">
      <c r="A942" s="46" t="s">
        <v>169</v>
      </c>
      <c r="B942" s="509"/>
      <c r="C942" s="1027"/>
      <c r="D942" s="1027"/>
      <c r="E942" s="1027"/>
      <c r="F942" s="1027"/>
      <c r="G942" s="1027"/>
      <c r="H942" s="843"/>
      <c r="I942" s="843"/>
      <c r="J942" s="843"/>
      <c r="K942" s="843"/>
      <c r="L942" s="1027"/>
      <c r="M942" s="843"/>
      <c r="N942" s="843"/>
      <c r="O942" s="843"/>
      <c r="P942" s="843"/>
      <c r="Q942" s="1027"/>
      <c r="R942" s="843"/>
      <c r="S942" s="843"/>
      <c r="T942" s="843"/>
      <c r="U942" s="843"/>
      <c r="V942" s="1027"/>
      <c r="W942" s="843"/>
      <c r="X942" s="843"/>
      <c r="Y942" s="843"/>
      <c r="Z942" s="843"/>
      <c r="AA942" s="1027"/>
      <c r="AB942" s="843"/>
      <c r="AC942" s="843"/>
      <c r="AD942" s="843"/>
      <c r="AE942" s="843"/>
      <c r="AF942" s="1027"/>
      <c r="AG942" s="843"/>
      <c r="AH942" s="843"/>
      <c r="AI942" s="843"/>
      <c r="AJ942" s="843"/>
      <c r="AK942" s="1027"/>
      <c r="AL942" s="843"/>
      <c r="AM942" s="843"/>
      <c r="AN942" s="843"/>
      <c r="AO942" s="843"/>
      <c r="AP942" s="1027"/>
      <c r="AQ942" s="843"/>
      <c r="AR942" s="843"/>
      <c r="AS942" s="843"/>
      <c r="AT942" s="843"/>
      <c r="AU942" s="1027"/>
      <c r="AV942" s="843"/>
      <c r="AW942" s="843"/>
      <c r="AX942" s="843"/>
      <c r="AY942" s="843"/>
      <c r="AZ942" s="1027"/>
      <c r="BA942" s="843"/>
      <c r="BB942" s="843"/>
      <c r="BC942" s="843"/>
      <c r="BD942" s="843"/>
      <c r="BE942" s="1027"/>
      <c r="BF942" s="843"/>
      <c r="BG942" s="843"/>
      <c r="BH942" s="844"/>
      <c r="BI942" s="843"/>
      <c r="BJ942" s="1027"/>
      <c r="BK942" s="843"/>
      <c r="BL942" s="843"/>
      <c r="BM942" s="843"/>
      <c r="BN942" s="843"/>
      <c r="BO942" s="1027"/>
      <c r="BP942" s="1027"/>
      <c r="BQ942" s="1027"/>
      <c r="BR942" s="1027"/>
      <c r="BS942" s="457"/>
    </row>
    <row r="943" spans="1:71" s="300" customFormat="1" ht="15" hidden="1" outlineLevel="1">
      <c r="A943" s="106" t="s">
        <v>170</v>
      </c>
      <c r="B943" s="166"/>
      <c r="C943" s="988">
        <v>78766</v>
      </c>
      <c r="D943" s="988">
        <v>79612</v>
      </c>
      <c r="E943" s="988">
        <v>76113</v>
      </c>
      <c r="F943" s="988">
        <v>77017</v>
      </c>
      <c r="G943" s="988">
        <v>60910</v>
      </c>
      <c r="H943" s="897">
        <v>61161</v>
      </c>
      <c r="I943" s="897">
        <v>62634</v>
      </c>
      <c r="J943" s="897">
        <v>62313</v>
      </c>
      <c r="K943" s="305">
        <f t="shared" si="2577" ref="K943:K948">L943</f>
        <v>62440</v>
      </c>
      <c r="L943" s="988">
        <v>62440</v>
      </c>
      <c r="M943" s="897">
        <v>61403</v>
      </c>
      <c r="N943" s="897">
        <v>59930</v>
      </c>
      <c r="O943" s="897">
        <v>58257</v>
      </c>
      <c r="P943" s="305">
        <f t="shared" si="2578" ref="P943:P948">Q943</f>
        <v>57948</v>
      </c>
      <c r="Q943" s="988">
        <v>57948</v>
      </c>
      <c r="R943" s="897">
        <v>57291</v>
      </c>
      <c r="S943" s="897">
        <v>58129</v>
      </c>
      <c r="T943" s="897">
        <v>60306</v>
      </c>
      <c r="U943" s="305">
        <f t="shared" si="2579" ref="U943:U948">V943</f>
        <v>57839</v>
      </c>
      <c r="V943" s="988">
        <v>57839</v>
      </c>
      <c r="W943" s="897">
        <v>58636</v>
      </c>
      <c r="X943" s="897">
        <v>58656</v>
      </c>
      <c r="Y943" s="897">
        <v>59391</v>
      </c>
      <c r="Z943" s="305">
        <f t="shared" si="2580" ref="Z943:Z948">AA943</f>
        <v>58992</v>
      </c>
      <c r="AA943" s="988">
        <v>58992</v>
      </c>
      <c r="AB943" s="897">
        <v>56674</v>
      </c>
      <c r="AC943" s="897">
        <v>56891</v>
      </c>
      <c r="AD943" s="897">
        <v>57663</v>
      </c>
      <c r="AE943" s="305">
        <f t="shared" si="2581" ref="AE943:AE948">AF943</f>
        <v>57170</v>
      </c>
      <c r="AF943" s="988">
        <v>57170</v>
      </c>
      <c r="AG943" s="897">
        <v>58202</v>
      </c>
      <c r="AH943" s="897">
        <v>58484</v>
      </c>
      <c r="AI943" s="897">
        <v>59259</v>
      </c>
      <c r="AJ943" s="305">
        <f t="shared" si="2582" ref="AJ943:AJ948">AK943</f>
        <v>59044</v>
      </c>
      <c r="AK943" s="988">
        <v>59044</v>
      </c>
      <c r="AL943" s="897">
        <v>59857</v>
      </c>
      <c r="AM943" s="897">
        <v>64448</v>
      </c>
      <c r="AN943" s="897">
        <v>66551</v>
      </c>
      <c r="AO943" s="305">
        <f t="shared" si="2583" ref="AO943:AO948">AP943</f>
        <v>66354</v>
      </c>
      <c r="AP943" s="988">
        <v>66354</v>
      </c>
      <c r="AQ943" s="897">
        <v>40594</v>
      </c>
      <c r="AR943" s="897">
        <v>42825</v>
      </c>
      <c r="AS943" s="897">
        <v>39989</v>
      </c>
      <c r="AT943" s="305">
        <f t="shared" si="2584" ref="AT943:AT948">AU943</f>
        <v>42136</v>
      </c>
      <c r="AU943" s="988">
        <v>42136</v>
      </c>
      <c r="AV943" s="897">
        <v>40745</v>
      </c>
      <c r="AW943" s="897">
        <v>41282</v>
      </c>
      <c r="AX943" s="897">
        <v>41715</v>
      </c>
      <c r="AY943" s="305">
        <f t="shared" si="2585" ref="AY943:AY948">AZ943</f>
        <v>42485</v>
      </c>
      <c r="AZ943" s="988">
        <v>42485</v>
      </c>
      <c r="BA943" s="897">
        <v>44103</v>
      </c>
      <c r="BB943" s="897">
        <v>45550</v>
      </c>
      <c r="BC943" s="897">
        <v>46771</v>
      </c>
      <c r="BD943" s="305">
        <f t="shared" si="2586" ref="BD943:BD948">BE943</f>
        <v>48865</v>
      </c>
      <c r="BE943" s="988">
        <v>48865</v>
      </c>
      <c r="BF943" s="897">
        <v>50777</v>
      </c>
      <c r="BG943" s="897">
        <v>52576</v>
      </c>
      <c r="BH943" s="898">
        <v>53961</v>
      </c>
      <c r="BI943" s="92"/>
      <c r="BJ943" s="989"/>
      <c r="BK943" s="92"/>
      <c r="BL943" s="92"/>
      <c r="BM943" s="92"/>
      <c r="BN943" s="92"/>
      <c r="BO943" s="989"/>
      <c r="BP943" s="989"/>
      <c r="BQ943" s="989"/>
      <c r="BR943" s="989"/>
      <c r="BS943" s="305"/>
    </row>
    <row r="944" spans="1:71" s="300" customFormat="1" ht="15" hidden="1" outlineLevel="1">
      <c r="A944" s="106" t="s">
        <v>171</v>
      </c>
      <c r="B944" s="166"/>
      <c r="C944" s="988">
        <v>5024</v>
      </c>
      <c r="D944" s="988">
        <v>4811</v>
      </c>
      <c r="E944" s="988">
        <v>4363</v>
      </c>
      <c r="F944" s="988">
        <v>4037</v>
      </c>
      <c r="G944" s="988">
        <v>5097</v>
      </c>
      <c r="H944" s="897">
        <v>5297</v>
      </c>
      <c r="I944" s="897">
        <v>5394</v>
      </c>
      <c r="J944" s="897">
        <v>4335</v>
      </c>
      <c r="K944" s="305">
        <f t="shared" si="2577"/>
        <v>4104</v>
      </c>
      <c r="L944" s="988">
        <v>4104</v>
      </c>
      <c r="M944" s="897">
        <v>4166</v>
      </c>
      <c r="N944" s="897">
        <v>4000</v>
      </c>
      <c r="O944" s="897">
        <v>4236</v>
      </c>
      <c r="P944" s="305">
        <f t="shared" si="2578"/>
        <v>5082</v>
      </c>
      <c r="Q944" s="988">
        <v>5082</v>
      </c>
      <c r="R944" s="897">
        <v>5117</v>
      </c>
      <c r="S944" s="897">
        <v>5265</v>
      </c>
      <c r="T944" s="897">
        <v>5288</v>
      </c>
      <c r="U944" s="305">
        <f t="shared" si="2579"/>
        <v>5666</v>
      </c>
      <c r="V944" s="988">
        <v>5666</v>
      </c>
      <c r="W944" s="897">
        <v>5685</v>
      </c>
      <c r="X944" s="897">
        <v>6117</v>
      </c>
      <c r="Y944" s="897">
        <v>6434</v>
      </c>
      <c r="Z944" s="305">
        <f t="shared" si="2580"/>
        <v>6621</v>
      </c>
      <c r="AA944" s="988">
        <v>6621</v>
      </c>
      <c r="AB944" s="897">
        <v>6986</v>
      </c>
      <c r="AC944" s="897">
        <v>6888</v>
      </c>
      <c r="AD944" s="897">
        <v>6965</v>
      </c>
      <c r="AE944" s="305">
        <f t="shared" si="2581"/>
        <v>5036</v>
      </c>
      <c r="AF944" s="988">
        <v>5036</v>
      </c>
      <c r="AG944" s="897">
        <v>5802</v>
      </c>
      <c r="AH944" s="897">
        <v>7906</v>
      </c>
      <c r="AI944" s="897">
        <v>8206</v>
      </c>
      <c r="AJ944" s="305">
        <f t="shared" si="2582"/>
        <v>8162</v>
      </c>
      <c r="AK944" s="988">
        <v>8162</v>
      </c>
      <c r="AL944" s="897">
        <v>3701</v>
      </c>
      <c r="AM944" s="897">
        <v>4212</v>
      </c>
      <c r="AN944" s="897">
        <v>4395</v>
      </c>
      <c r="AO944" s="305">
        <f t="shared" si="2583"/>
        <v>4710</v>
      </c>
      <c r="AP944" s="988">
        <v>4710</v>
      </c>
      <c r="AQ944" s="897">
        <v>3154</v>
      </c>
      <c r="AR944" s="897">
        <v>3059</v>
      </c>
      <c r="AS944" s="897">
        <v>3807</v>
      </c>
      <c r="AT944" s="305">
        <f t="shared" si="2584"/>
        <v>7061</v>
      </c>
      <c r="AU944" s="988">
        <v>7061</v>
      </c>
      <c r="AV944" s="897">
        <v>5315</v>
      </c>
      <c r="AW944" s="897">
        <v>4681</v>
      </c>
      <c r="AX944" s="897">
        <v>4723</v>
      </c>
      <c r="AY944" s="305">
        <f t="shared" si="2585"/>
        <v>4567</v>
      </c>
      <c r="AZ944" s="988">
        <v>4567</v>
      </c>
      <c r="BA944" s="897">
        <v>2174</v>
      </c>
      <c r="BB944" s="897">
        <v>2290</v>
      </c>
      <c r="BC944" s="897">
        <v>2419</v>
      </c>
      <c r="BD944" s="305">
        <f t="shared" si="2586"/>
        <v>2411</v>
      </c>
      <c r="BE944" s="988">
        <v>2411</v>
      </c>
      <c r="BF944" s="897">
        <v>2383</v>
      </c>
      <c r="BG944" s="897">
        <v>2216</v>
      </c>
      <c r="BH944" s="898">
        <v>2091</v>
      </c>
      <c r="BI944" s="92"/>
      <c r="BJ944" s="989"/>
      <c r="BK944" s="92"/>
      <c r="BL944" s="92"/>
      <c r="BM944" s="92"/>
      <c r="BN944" s="92"/>
      <c r="BO944" s="989"/>
      <c r="BP944" s="989"/>
      <c r="BQ944" s="989"/>
      <c r="BR944" s="989"/>
      <c r="BS944" s="305"/>
    </row>
    <row r="945" spans="1:71" s="300" customFormat="1" ht="15" hidden="1" outlineLevel="1">
      <c r="A945" s="106" t="s">
        <v>172</v>
      </c>
      <c r="B945" s="166"/>
      <c r="C945" s="988">
        <v>7935</v>
      </c>
      <c r="D945" s="988">
        <v>6679</v>
      </c>
      <c r="E945" s="988">
        <v>7139</v>
      </c>
      <c r="F945" s="988">
        <v>6570</v>
      </c>
      <c r="G945" s="988">
        <v>4721</v>
      </c>
      <c r="H945" s="897">
        <v>4472</v>
      </c>
      <c r="I945" s="897">
        <v>4174</v>
      </c>
      <c r="J945" s="897">
        <v>4143</v>
      </c>
      <c r="K945" s="305">
        <f t="shared" si="2577"/>
        <v>4188</v>
      </c>
      <c r="L945" s="988">
        <v>4188</v>
      </c>
      <c r="M945" s="897">
        <v>4276</v>
      </c>
      <c r="N945" s="897">
        <v>4343</v>
      </c>
      <c r="O945" s="897">
        <v>4402</v>
      </c>
      <c r="P945" s="305">
        <f t="shared" si="2578"/>
        <v>4338</v>
      </c>
      <c r="Q945" s="988">
        <v>4338</v>
      </c>
      <c r="R945" s="897">
        <v>4302</v>
      </c>
      <c r="S945" s="897">
        <v>4453</v>
      </c>
      <c r="T945" s="897">
        <v>4396</v>
      </c>
      <c r="U945" s="305">
        <f t="shared" si="2579"/>
        <v>4486</v>
      </c>
      <c r="V945" s="988">
        <v>4486</v>
      </c>
      <c r="W945" s="897">
        <v>4349</v>
      </c>
      <c r="X945" s="897">
        <v>4336</v>
      </c>
      <c r="Y945" s="897">
        <v>4322</v>
      </c>
      <c r="Z945" s="305">
        <f t="shared" si="2580"/>
        <v>4534</v>
      </c>
      <c r="AA945" s="988">
        <v>4534</v>
      </c>
      <c r="AB945" s="897">
        <v>4679</v>
      </c>
      <c r="AC945" s="897">
        <v>4535</v>
      </c>
      <c r="AD945" s="897">
        <v>4592</v>
      </c>
      <c r="AE945" s="305">
        <f t="shared" si="2581"/>
        <v>4670</v>
      </c>
      <c r="AF945" s="988">
        <v>4670</v>
      </c>
      <c r="AG945" s="897">
        <v>4681</v>
      </c>
      <c r="AH945" s="897">
        <v>4687</v>
      </c>
      <c r="AI945" s="897">
        <v>4694</v>
      </c>
      <c r="AJ945" s="305">
        <f t="shared" si="2582"/>
        <v>4817</v>
      </c>
      <c r="AK945" s="988">
        <v>4817</v>
      </c>
      <c r="AL945" s="897">
        <v>4759</v>
      </c>
      <c r="AM945" s="897">
        <v>4774</v>
      </c>
      <c r="AN945" s="897">
        <v>4655</v>
      </c>
      <c r="AO945" s="305">
        <f t="shared" si="2583"/>
        <v>4075</v>
      </c>
      <c r="AP945" s="988">
        <v>4075</v>
      </c>
      <c r="AQ945" s="897">
        <v>902</v>
      </c>
      <c r="AR945" s="897">
        <v>786</v>
      </c>
      <c r="AS945" s="897">
        <v>752</v>
      </c>
      <c r="AT945" s="305">
        <f t="shared" si="2584"/>
        <v>821</v>
      </c>
      <c r="AU945" s="988">
        <v>821</v>
      </c>
      <c r="AV945" s="897">
        <v>855</v>
      </c>
      <c r="AW945" s="897">
        <v>848</v>
      </c>
      <c r="AX945" s="897">
        <v>833</v>
      </c>
      <c r="AY945" s="305">
        <f t="shared" si="2585"/>
        <v>762</v>
      </c>
      <c r="AZ945" s="988">
        <v>762</v>
      </c>
      <c r="BA945" s="897">
        <v>781</v>
      </c>
      <c r="BB945" s="897">
        <v>823</v>
      </c>
      <c r="BC945" s="897">
        <v>830</v>
      </c>
      <c r="BD945" s="305">
        <f t="shared" si="2586"/>
        <v>822</v>
      </c>
      <c r="BE945" s="988">
        <v>822</v>
      </c>
      <c r="BF945" s="897">
        <v>815</v>
      </c>
      <c r="BG945" s="897">
        <v>815</v>
      </c>
      <c r="BH945" s="898">
        <v>765</v>
      </c>
      <c r="BI945" s="92"/>
      <c r="BJ945" s="989"/>
      <c r="BK945" s="92"/>
      <c r="BL945" s="92"/>
      <c r="BM945" s="92"/>
      <c r="BN945" s="92"/>
      <c r="BO945" s="989"/>
      <c r="BP945" s="989"/>
      <c r="BQ945" s="989"/>
      <c r="BR945" s="989"/>
      <c r="BS945" s="305"/>
    </row>
    <row r="946" spans="1:71" s="300" customFormat="1" ht="15" hidden="1" outlineLevel="1">
      <c r="A946" s="106" t="s">
        <v>173</v>
      </c>
      <c r="B946" s="166"/>
      <c r="C946" s="988">
        <v>2744</v>
      </c>
      <c r="D946" s="988">
        <v>3816</v>
      </c>
      <c r="E946" s="988">
        <v>4697</v>
      </c>
      <c r="F946" s="988">
        <v>4922</v>
      </c>
      <c r="G946" s="988">
        <v>4967</v>
      </c>
      <c r="H946" s="897">
        <v>5024</v>
      </c>
      <c r="I946" s="897">
        <v>4309</v>
      </c>
      <c r="J946" s="897">
        <v>4348</v>
      </c>
      <c r="K946" s="305">
        <f t="shared" si="2577"/>
        <v>4527</v>
      </c>
      <c r="L946" s="988">
        <v>4527</v>
      </c>
      <c r="M946" s="897">
        <v>4699</v>
      </c>
      <c r="N946" s="897">
        <v>4536</v>
      </c>
      <c r="O946" s="897">
        <v>4823</v>
      </c>
      <c r="P946" s="305">
        <f t="shared" si="2578"/>
        <v>4874</v>
      </c>
      <c r="Q946" s="988">
        <v>4874</v>
      </c>
      <c r="R946" s="897">
        <v>5091</v>
      </c>
      <c r="S946" s="897">
        <v>5407</v>
      </c>
      <c r="T946" s="897">
        <v>5588</v>
      </c>
      <c r="U946" s="305">
        <f t="shared" si="2579"/>
        <v>5814</v>
      </c>
      <c r="V946" s="988">
        <v>5814</v>
      </c>
      <c r="W946" s="897">
        <v>5982</v>
      </c>
      <c r="X946" s="897">
        <v>6206</v>
      </c>
      <c r="Y946" s="897">
        <v>6600</v>
      </c>
      <c r="Z946" s="305">
        <f t="shared" si="2580"/>
        <v>6740</v>
      </c>
      <c r="AA946" s="988">
        <v>6740</v>
      </c>
      <c r="AB946" s="897">
        <v>7434</v>
      </c>
      <c r="AC946" s="897">
        <v>7679</v>
      </c>
      <c r="AD946" s="897">
        <v>7602</v>
      </c>
      <c r="AE946" s="305">
        <f t="shared" si="2581"/>
        <v>7505</v>
      </c>
      <c r="AF946" s="988">
        <v>7505</v>
      </c>
      <c r="AG946" s="897">
        <v>7493</v>
      </c>
      <c r="AH946" s="897">
        <v>7818</v>
      </c>
      <c r="AI946" s="897">
        <v>7990</v>
      </c>
      <c r="AJ946" s="305">
        <f t="shared" si="2582"/>
        <v>8078</v>
      </c>
      <c r="AK946" s="988">
        <v>8078</v>
      </c>
      <c r="AL946" s="897">
        <v>7087</v>
      </c>
      <c r="AM946" s="897">
        <v>6941</v>
      </c>
      <c r="AN946" s="897">
        <v>7232</v>
      </c>
      <c r="AO946" s="305">
        <f t="shared" si="2583"/>
        <v>7609</v>
      </c>
      <c r="AP946" s="988">
        <v>7609</v>
      </c>
      <c r="AQ946" s="897">
        <v>6367</v>
      </c>
      <c r="AR946" s="897">
        <v>7073</v>
      </c>
      <c r="AS946" s="897">
        <v>7578</v>
      </c>
      <c r="AT946" s="305">
        <f t="shared" si="2584"/>
        <v>8018</v>
      </c>
      <c r="AU946" s="988">
        <v>8018</v>
      </c>
      <c r="AV946" s="897">
        <v>7977</v>
      </c>
      <c r="AW946" s="897">
        <v>7943</v>
      </c>
      <c r="AX946" s="897">
        <v>7907</v>
      </c>
      <c r="AY946" s="305">
        <f t="shared" si="2585"/>
        <v>8114</v>
      </c>
      <c r="AZ946" s="988">
        <v>8114</v>
      </c>
      <c r="BA946" s="897">
        <v>7971</v>
      </c>
      <c r="BB946" s="897">
        <v>8150</v>
      </c>
      <c r="BC946" s="897">
        <v>8363</v>
      </c>
      <c r="BD946" s="305">
        <f t="shared" si="2586"/>
        <v>8380</v>
      </c>
      <c r="BE946" s="988">
        <v>8380</v>
      </c>
      <c r="BF946" s="897">
        <v>8562</v>
      </c>
      <c r="BG946" s="897">
        <v>8730</v>
      </c>
      <c r="BH946" s="898">
        <v>8925</v>
      </c>
      <c r="BI946" s="92"/>
      <c r="BJ946" s="989"/>
      <c r="BK946" s="92"/>
      <c r="BL946" s="92"/>
      <c r="BM946" s="92"/>
      <c r="BN946" s="92"/>
      <c r="BO946" s="989"/>
      <c r="BP946" s="989"/>
      <c r="BQ946" s="989"/>
      <c r="BR946" s="989"/>
      <c r="BS946" s="305"/>
    </row>
    <row r="947" spans="1:71" s="300" customFormat="1" ht="15" hidden="1" outlineLevel="1">
      <c r="A947" s="106" t="s">
        <v>174</v>
      </c>
      <c r="B947" s="166"/>
      <c r="C947" s="988">
        <v>3056</v>
      </c>
      <c r="D947" s="988">
        <v>3279</v>
      </c>
      <c r="E947" s="988">
        <v>1291</v>
      </c>
      <c r="F947" s="988">
        <v>2336</v>
      </c>
      <c r="G947" s="988">
        <v>2393</v>
      </c>
      <c r="H947" s="897">
        <v>2573</v>
      </c>
      <c r="I947" s="897">
        <v>2914</v>
      </c>
      <c r="J947" s="897">
        <v>2463</v>
      </c>
      <c r="K947" s="305">
        <f t="shared" si="2577"/>
        <v>2540</v>
      </c>
      <c r="L947" s="988">
        <v>2540</v>
      </c>
      <c r="M947" s="897">
        <v>2497</v>
      </c>
      <c r="N947" s="897">
        <v>2821</v>
      </c>
      <c r="O947" s="897">
        <v>3036</v>
      </c>
      <c r="P947" s="305">
        <f t="shared" si="2578"/>
        <v>2122</v>
      </c>
      <c r="Q947" s="988">
        <v>2122</v>
      </c>
      <c r="R947" s="897">
        <v>3526</v>
      </c>
      <c r="S947" s="897">
        <v>2850</v>
      </c>
      <c r="T947" s="897">
        <v>1863</v>
      </c>
      <c r="U947" s="305">
        <f t="shared" si="2579"/>
        <v>4288</v>
      </c>
      <c r="V947" s="988">
        <v>4288</v>
      </c>
      <c r="W947" s="897">
        <v>2753</v>
      </c>
      <c r="X947" s="897">
        <v>2175</v>
      </c>
      <c r="Y947" s="897">
        <v>2198</v>
      </c>
      <c r="Z947" s="305">
        <f t="shared" si="2580"/>
        <v>1944</v>
      </c>
      <c r="AA947" s="988">
        <v>1944</v>
      </c>
      <c r="AB947" s="897">
        <v>3424</v>
      </c>
      <c r="AC947" s="897">
        <v>3123</v>
      </c>
      <c r="AD947" s="897">
        <v>3071</v>
      </c>
      <c r="AE947" s="305">
        <f t="shared" si="2581"/>
        <v>3027</v>
      </c>
      <c r="AF947" s="988">
        <v>3027</v>
      </c>
      <c r="AG947" s="897">
        <v>4157</v>
      </c>
      <c r="AH947" s="897">
        <v>3740</v>
      </c>
      <c r="AI947" s="897">
        <v>5254</v>
      </c>
      <c r="AJ947" s="305">
        <f t="shared" si="2582"/>
        <v>4256</v>
      </c>
      <c r="AK947" s="988">
        <v>4256</v>
      </c>
      <c r="AL947" s="897">
        <v>5671</v>
      </c>
      <c r="AM947" s="897">
        <v>5344</v>
      </c>
      <c r="AN947" s="897">
        <v>4559</v>
      </c>
      <c r="AO947" s="305">
        <f t="shared" si="2583"/>
        <v>7800</v>
      </c>
      <c r="AP947" s="988">
        <v>7800</v>
      </c>
      <c r="AQ947" s="897">
        <v>6017</v>
      </c>
      <c r="AR947" s="897">
        <v>5516</v>
      </c>
      <c r="AS947" s="897">
        <v>6428</v>
      </c>
      <c r="AT947" s="305">
        <f t="shared" si="2584"/>
        <v>4009</v>
      </c>
      <c r="AU947" s="988">
        <v>4009</v>
      </c>
      <c r="AV947" s="897">
        <v>4344</v>
      </c>
      <c r="AW947" s="897">
        <v>4384</v>
      </c>
      <c r="AX947" s="897">
        <v>4030</v>
      </c>
      <c r="AY947" s="305">
        <f t="shared" si="2585"/>
        <v>4173</v>
      </c>
      <c r="AZ947" s="988">
        <v>4173</v>
      </c>
      <c r="BA947" s="897">
        <v>6722</v>
      </c>
      <c r="BB947" s="897">
        <v>5137</v>
      </c>
      <c r="BC947" s="897">
        <v>3368</v>
      </c>
      <c r="BD947" s="305">
        <f t="shared" si="2586"/>
        <v>5144</v>
      </c>
      <c r="BE947" s="988">
        <v>5144</v>
      </c>
      <c r="BF947" s="897">
        <v>4318</v>
      </c>
      <c r="BG947" s="897">
        <v>5288</v>
      </c>
      <c r="BH947" s="898">
        <v>6994</v>
      </c>
      <c r="BI947" s="92"/>
      <c r="BJ947" s="989"/>
      <c r="BK947" s="92"/>
      <c r="BL947" s="92"/>
      <c r="BM947" s="92"/>
      <c r="BN947" s="92"/>
      <c r="BO947" s="989"/>
      <c r="BP947" s="989"/>
      <c r="BQ947" s="989"/>
      <c r="BR947" s="989"/>
      <c r="BS947" s="305"/>
    </row>
    <row r="948" spans="1:71" s="300" customFormat="1" ht="15" hidden="1" outlineLevel="1">
      <c r="A948" s="105" t="s">
        <v>159</v>
      </c>
      <c r="B948" s="395"/>
      <c r="C948" s="990">
        <v>2308</v>
      </c>
      <c r="D948" s="990">
        <v>2286</v>
      </c>
      <c r="E948" s="990">
        <v>2015</v>
      </c>
      <c r="F948" s="990">
        <v>2396</v>
      </c>
      <c r="G948" s="990">
        <v>3067</v>
      </c>
      <c r="H948" s="900">
        <v>3163</v>
      </c>
      <c r="I948" s="900">
        <v>3138</v>
      </c>
      <c r="J948" s="900">
        <v>3119</v>
      </c>
      <c r="K948" s="58">
        <f t="shared" si="2577"/>
        <v>3314</v>
      </c>
      <c r="L948" s="990">
        <v>3314</v>
      </c>
      <c r="M948" s="900">
        <v>3396</v>
      </c>
      <c r="N948" s="900">
        <v>3511</v>
      </c>
      <c r="O948" s="900">
        <v>3588</v>
      </c>
      <c r="P948" s="58">
        <f t="shared" si="2578"/>
        <v>3394</v>
      </c>
      <c r="Q948" s="990">
        <v>3394</v>
      </c>
      <c r="R948" s="900">
        <v>3550</v>
      </c>
      <c r="S948" s="900">
        <v>3590</v>
      </c>
      <c r="T948" s="900">
        <v>3663</v>
      </c>
      <c r="U948" s="58">
        <f t="shared" si="2579"/>
        <v>3706</v>
      </c>
      <c r="V948" s="990">
        <v>3706</v>
      </c>
      <c r="W948" s="900">
        <v>3738</v>
      </c>
      <c r="X948" s="900">
        <v>3815</v>
      </c>
      <c r="Y948" s="900">
        <v>3826</v>
      </c>
      <c r="Z948" s="58">
        <f t="shared" si="2580"/>
        <v>3972</v>
      </c>
      <c r="AA948" s="990">
        <v>3972</v>
      </c>
      <c r="AB948" s="900">
        <v>4092</v>
      </c>
      <c r="AC948" s="900">
        <v>4125</v>
      </c>
      <c r="AD948" s="900">
        <v>4075</v>
      </c>
      <c r="AE948" s="58">
        <f t="shared" si="2581"/>
        <v>3852</v>
      </c>
      <c r="AF948" s="990">
        <v>3852</v>
      </c>
      <c r="AG948" s="900">
        <v>3786</v>
      </c>
      <c r="AH948" s="900">
        <v>3856</v>
      </c>
      <c r="AI948" s="900">
        <v>3904</v>
      </c>
      <c r="AJ948" s="58">
        <f t="shared" si="2582"/>
        <v>4005</v>
      </c>
      <c r="AK948" s="990">
        <v>4005</v>
      </c>
      <c r="AL948" s="900">
        <v>3767</v>
      </c>
      <c r="AM948" s="900">
        <v>3918</v>
      </c>
      <c r="AN948" s="900">
        <v>3805</v>
      </c>
      <c r="AO948" s="58">
        <f t="shared" si="2583"/>
        <v>3689</v>
      </c>
      <c r="AP948" s="990">
        <v>3689</v>
      </c>
      <c r="AQ948" s="900">
        <v>3042</v>
      </c>
      <c r="AR948" s="900">
        <v>3311</v>
      </c>
      <c r="AS948" s="900">
        <v>3286</v>
      </c>
      <c r="AT948" s="58">
        <f t="shared" si="2584"/>
        <v>2656</v>
      </c>
      <c r="AU948" s="990">
        <v>2656</v>
      </c>
      <c r="AV948" s="900">
        <v>2532</v>
      </c>
      <c r="AW948" s="900">
        <v>1917</v>
      </c>
      <c r="AX948" s="900">
        <v>1798</v>
      </c>
      <c r="AY948" s="58">
        <f t="shared" si="2585"/>
        <v>1728</v>
      </c>
      <c r="AZ948" s="990">
        <v>1728</v>
      </c>
      <c r="BA948" s="900">
        <v>1724</v>
      </c>
      <c r="BB948" s="900">
        <v>1718</v>
      </c>
      <c r="BC948" s="900">
        <v>1608</v>
      </c>
      <c r="BD948" s="58">
        <f t="shared" si="2586"/>
        <v>1055</v>
      </c>
      <c r="BE948" s="990">
        <v>1055</v>
      </c>
      <c r="BF948" s="900">
        <v>1004</v>
      </c>
      <c r="BG948" s="900">
        <v>979</v>
      </c>
      <c r="BH948" s="901">
        <v>866</v>
      </c>
      <c r="BI948" s="115"/>
      <c r="BJ948" s="995"/>
      <c r="BK948" s="115"/>
      <c r="BL948" s="115"/>
      <c r="BM948" s="115"/>
      <c r="BN948" s="115"/>
      <c r="BO948" s="995"/>
      <c r="BP948" s="995"/>
      <c r="BQ948" s="995"/>
      <c r="BR948" s="995"/>
      <c r="BS948" s="305"/>
    </row>
    <row r="949" spans="1:71" s="300" customFormat="1" ht="15" collapsed="1">
      <c r="A949" s="111" t="s">
        <v>175</v>
      </c>
      <c r="B949" s="166"/>
      <c r="C949" s="989">
        <f t="shared" si="2587" ref="C949:AK949">SUM(C943:C948)</f>
        <v>99833</v>
      </c>
      <c r="D949" s="989">
        <f t="shared" si="2587"/>
        <v>100483</v>
      </c>
      <c r="E949" s="989">
        <f t="shared" si="2587"/>
        <v>95618</v>
      </c>
      <c r="F949" s="989">
        <f t="shared" si="2587"/>
        <v>97278</v>
      </c>
      <c r="G949" s="989">
        <f t="shared" si="2587"/>
        <v>81155</v>
      </c>
      <c r="H949" s="92">
        <f t="shared" si="2587"/>
        <v>81690</v>
      </c>
      <c r="I949" s="92">
        <f t="shared" si="2587"/>
        <v>82563</v>
      </c>
      <c r="J949" s="92">
        <f t="shared" si="2587"/>
        <v>80721</v>
      </c>
      <c r="K949" s="92">
        <f t="shared" si="2587"/>
        <v>81113</v>
      </c>
      <c r="L949" s="989">
        <f t="shared" si="2587"/>
        <v>81113</v>
      </c>
      <c r="M949" s="92">
        <f t="shared" si="2587"/>
        <v>80437</v>
      </c>
      <c r="N949" s="92">
        <f t="shared" si="2587"/>
        <v>79141</v>
      </c>
      <c r="O949" s="92">
        <f t="shared" si="2587"/>
        <v>78342</v>
      </c>
      <c r="P949" s="92">
        <f t="shared" si="2587"/>
        <v>77758</v>
      </c>
      <c r="Q949" s="989">
        <f t="shared" si="2587"/>
        <v>77758</v>
      </c>
      <c r="R949" s="92">
        <f t="shared" si="2587"/>
        <v>78877</v>
      </c>
      <c r="S949" s="92">
        <f t="shared" si="2587"/>
        <v>79694</v>
      </c>
      <c r="T949" s="92">
        <f t="shared" si="2587"/>
        <v>81104</v>
      </c>
      <c r="U949" s="92">
        <f t="shared" si="2587"/>
        <v>81799</v>
      </c>
      <c r="V949" s="989">
        <f t="shared" si="2587"/>
        <v>81799</v>
      </c>
      <c r="W949" s="305">
        <f t="shared" si="2587"/>
        <v>81143</v>
      </c>
      <c r="X949" s="92">
        <f t="shared" si="2587"/>
        <v>81305</v>
      </c>
      <c r="Y949" s="92">
        <f t="shared" si="2587"/>
        <v>82771</v>
      </c>
      <c r="Z949" s="92">
        <f t="shared" si="2587"/>
        <v>82803</v>
      </c>
      <c r="AA949" s="989">
        <f t="shared" si="2587"/>
        <v>82803</v>
      </c>
      <c r="AB949" s="305">
        <f t="shared" si="2587"/>
        <v>83289</v>
      </c>
      <c r="AC949" s="92">
        <f t="shared" si="2587"/>
        <v>83241</v>
      </c>
      <c r="AD949" s="92">
        <f t="shared" si="2587"/>
        <v>83968</v>
      </c>
      <c r="AE949" s="92">
        <f t="shared" si="2587"/>
        <v>81260</v>
      </c>
      <c r="AF949" s="989">
        <f t="shared" si="2587"/>
        <v>81260</v>
      </c>
      <c r="AG949" s="305">
        <f t="shared" si="2587"/>
        <v>84121</v>
      </c>
      <c r="AH949" s="92">
        <f t="shared" si="2587"/>
        <v>86491</v>
      </c>
      <c r="AI949" s="92">
        <f t="shared" si="2587"/>
        <v>89307</v>
      </c>
      <c r="AJ949" s="92">
        <f t="shared" si="2587"/>
        <v>88362</v>
      </c>
      <c r="AK949" s="989">
        <f t="shared" si="2587"/>
        <v>88362</v>
      </c>
      <c r="AL949" s="305">
        <f>SUM(AL943:AL948)</f>
        <v>84842</v>
      </c>
      <c r="AM949" s="92">
        <f>SUM(AM943:AM948)</f>
        <v>89637</v>
      </c>
      <c r="AN949" s="92">
        <f>SUM(AN943:AN948)</f>
        <v>91197</v>
      </c>
      <c r="AO949" s="92">
        <f t="shared" si="2588" ref="AO949:AP949">SUM(AO943:AO948)</f>
        <v>94237</v>
      </c>
      <c r="AP949" s="989">
        <f t="shared" si="2588"/>
        <v>94237</v>
      </c>
      <c r="AQ949" s="305">
        <f t="shared" si="2589" ref="AQ949:AV949">SUM(AQ943:AQ948)</f>
        <v>60076</v>
      </c>
      <c r="AR949" s="92">
        <f t="shared" si="2589"/>
        <v>62570</v>
      </c>
      <c r="AS949" s="92">
        <f t="shared" si="2589"/>
        <v>61840</v>
      </c>
      <c r="AT949" s="92">
        <f t="shared" si="2589"/>
        <v>64701</v>
      </c>
      <c r="AU949" s="989">
        <f t="shared" si="2589"/>
        <v>64701</v>
      </c>
      <c r="AV949" s="305">
        <f t="shared" si="2589"/>
        <v>61768</v>
      </c>
      <c r="AW949" s="92">
        <f t="shared" si="2590" ref="AW949:BB949">SUM(AW943:AW948)</f>
        <v>61055</v>
      </c>
      <c r="AX949" s="92">
        <f t="shared" si="2590"/>
        <v>61006</v>
      </c>
      <c r="AY949" s="92">
        <f t="shared" si="2590"/>
        <v>61829</v>
      </c>
      <c r="AZ949" s="989">
        <f t="shared" si="2590"/>
        <v>61829</v>
      </c>
      <c r="BA949" s="305">
        <f t="shared" si="2590"/>
        <v>63475</v>
      </c>
      <c r="BB949" s="92">
        <f t="shared" si="2590"/>
        <v>63668</v>
      </c>
      <c r="BC949" s="92">
        <f t="shared" si="2591" ref="BC949:BH949">SUM(BC943:BC948)</f>
        <v>63359</v>
      </c>
      <c r="BD949" s="92">
        <f t="shared" si="2591"/>
        <v>66677</v>
      </c>
      <c r="BE949" s="989">
        <f t="shared" si="2591"/>
        <v>66677</v>
      </c>
      <c r="BF949" s="305">
        <f t="shared" si="2591"/>
        <v>67859</v>
      </c>
      <c r="BG949" s="92">
        <f t="shared" si="2591"/>
        <v>70604</v>
      </c>
      <c r="BH949" s="464">
        <f t="shared" si="2591"/>
        <v>73602</v>
      </c>
      <c r="BI949" s="92">
        <f>BH949-BI892-BI900</f>
        <v>64276.440000000002</v>
      </c>
      <c r="BJ949" s="989">
        <f t="shared" si="2592" ref="BJ949:BJ960">BI949</f>
        <v>64276.440000000002</v>
      </c>
      <c r="BK949" s="92">
        <f>BJ949-BK892-BK900</f>
        <v>68697.970000000001</v>
      </c>
      <c r="BL949" s="92">
        <f>BK949-BL892-BL900</f>
        <v>67723.570000000007</v>
      </c>
      <c r="BM949" s="92">
        <f>BL949-BM892-BM900</f>
        <v>71768.209999999992</v>
      </c>
      <c r="BN949" s="92">
        <f>BM949-BN892-BN900</f>
        <v>62257.648799999995</v>
      </c>
      <c r="BO949" s="989">
        <f t="shared" si="2593" ref="BO949:BO960">BN949</f>
        <v>62257.648799999995</v>
      </c>
      <c r="BP949" s="989">
        <f>BO949-BP892-BP900</f>
        <v>62976.024335999995</v>
      </c>
      <c r="BQ949" s="989">
        <f>BP949-BQ892-BQ900</f>
        <v>63744.505360319999</v>
      </c>
      <c r="BR949" s="989">
        <f>BQ949-BR892-BR900</f>
        <v>64568.4101327424</v>
      </c>
      <c r="BS949" s="305"/>
    </row>
    <row r="950" spans="1:71" s="300" customFormat="1" ht="15">
      <c r="A950" s="304" t="s">
        <v>176</v>
      </c>
      <c r="B950" s="166"/>
      <c r="C950" s="988">
        <v>612</v>
      </c>
      <c r="D950" s="988">
        <v>562</v>
      </c>
      <c r="E950" s="988">
        <v>776</v>
      </c>
      <c r="F950" s="988">
        <v>806</v>
      </c>
      <c r="G950" s="988">
        <v>675</v>
      </c>
      <c r="H950" s="897">
        <v>1170</v>
      </c>
      <c r="I950" s="897">
        <v>889</v>
      </c>
      <c r="J950" s="897">
        <v>885</v>
      </c>
      <c r="K950" s="305">
        <f t="shared" si="2594" ref="K950:K960">L950</f>
        <v>657</v>
      </c>
      <c r="L950" s="988">
        <v>657</v>
      </c>
      <c r="M950" s="897">
        <v>916</v>
      </c>
      <c r="N950" s="897">
        <v>805</v>
      </c>
      <c r="O950" s="897">
        <v>905</v>
      </c>
      <c r="P950" s="305">
        <f t="shared" si="2595" ref="P950:P960">Q950</f>
        <v>495</v>
      </c>
      <c r="Q950" s="988">
        <v>495</v>
      </c>
      <c r="R950" s="897">
        <v>531</v>
      </c>
      <c r="S950" s="897">
        <v>446</v>
      </c>
      <c r="T950" s="897">
        <v>389</v>
      </c>
      <c r="U950" s="305">
        <f t="shared" si="2596" ref="U950:U960">V950</f>
        <v>436</v>
      </c>
      <c r="V950" s="988">
        <v>436</v>
      </c>
      <c r="W950" s="897">
        <v>442</v>
      </c>
      <c r="X950" s="897">
        <v>482</v>
      </c>
      <c r="Y950" s="897">
        <v>690</v>
      </c>
      <c r="Z950" s="305">
        <f t="shared" si="2597" ref="Z950:Z960">AA950</f>
        <v>617</v>
      </c>
      <c r="AA950" s="988">
        <v>617</v>
      </c>
      <c r="AB950" s="897">
        <v>450</v>
      </c>
      <c r="AC950" s="897">
        <v>489</v>
      </c>
      <c r="AD950" s="897">
        <v>460</v>
      </c>
      <c r="AE950" s="305">
        <f t="shared" si="2598" ref="AE950:AE960">AF950</f>
        <v>499</v>
      </c>
      <c r="AF950" s="988">
        <v>499</v>
      </c>
      <c r="AG950" s="897">
        <v>551</v>
      </c>
      <c r="AH950" s="897">
        <v>599</v>
      </c>
      <c r="AI950" s="897">
        <v>587</v>
      </c>
      <c r="AJ950" s="305">
        <f t="shared" si="2599" ref="AJ950:AJ960">AK950</f>
        <v>338</v>
      </c>
      <c r="AK950" s="988">
        <v>338</v>
      </c>
      <c r="AL950" s="897">
        <v>338</v>
      </c>
      <c r="AM950" s="897">
        <v>547</v>
      </c>
      <c r="AN950" s="897">
        <v>370</v>
      </c>
      <c r="AO950" s="305">
        <f t="shared" si="2600" ref="AO950:AO960">AP950</f>
        <v>377</v>
      </c>
      <c r="AP950" s="988">
        <v>377</v>
      </c>
      <c r="AQ950" s="897">
        <v>709</v>
      </c>
      <c r="AR950" s="897">
        <v>656</v>
      </c>
      <c r="AS950" s="897">
        <v>690</v>
      </c>
      <c r="AT950" s="305">
        <f t="shared" si="2601" ref="AT950:AT960">AU950</f>
        <v>763</v>
      </c>
      <c r="AU950" s="988">
        <v>763</v>
      </c>
      <c r="AV950" s="897">
        <v>1130</v>
      </c>
      <c r="AW950" s="897">
        <v>766</v>
      </c>
      <c r="AX950" s="897">
        <v>786</v>
      </c>
      <c r="AY950" s="305">
        <f t="shared" si="2602" ref="AY950:AY960">AZ950</f>
        <v>736</v>
      </c>
      <c r="AZ950" s="988">
        <v>736</v>
      </c>
      <c r="BA950" s="897">
        <v>662</v>
      </c>
      <c r="BB950" s="897">
        <v>699</v>
      </c>
      <c r="BC950" s="897">
        <v>860</v>
      </c>
      <c r="BD950" s="305">
        <f t="shared" si="2603" ref="BD950:BD960">BE950</f>
        <v>722</v>
      </c>
      <c r="BE950" s="988">
        <v>722</v>
      </c>
      <c r="BF950" s="897">
        <v>850</v>
      </c>
      <c r="BG950" s="897">
        <v>599</v>
      </c>
      <c r="BH950" s="898">
        <v>816</v>
      </c>
      <c r="BI950" s="92">
        <f ca="1">BI934</f>
        <v>10465.162581004097</v>
      </c>
      <c r="BJ950" s="989">
        <f t="shared" ca="1" si="2592"/>
        <v>10465.162581004097</v>
      </c>
      <c r="BK950" s="92">
        <f ca="1">BK934</f>
        <v>7923.185520130126</v>
      </c>
      <c r="BL950" s="92">
        <f ca="1">BL934</f>
        <v>10291.663286250667</v>
      </c>
      <c r="BM950" s="92">
        <f ca="1">BM934</f>
        <v>7993.8056577575335</v>
      </c>
      <c r="BN950" s="92">
        <f ca="1">BN934</f>
        <v>18116.970874861974</v>
      </c>
      <c r="BO950" s="989">
        <f t="shared" ca="1" si="2593"/>
        <v>18116.970874861974</v>
      </c>
      <c r="BP950" s="989">
        <f ca="1">BP934</f>
        <v>24698.552832424335</v>
      </c>
      <c r="BQ950" s="989">
        <f ca="1">BQ934</f>
        <v>31625.269388986671</v>
      </c>
      <c r="BR950" s="989">
        <f ca="1">BR934</f>
        <v>38740.422724549368</v>
      </c>
      <c r="BS950" s="305"/>
    </row>
    <row r="951" spans="1:71" s="300" customFormat="1" ht="15">
      <c r="A951" s="304" t="s">
        <v>124</v>
      </c>
      <c r="B951" s="166"/>
      <c r="C951" s="988">
        <v>4839</v>
      </c>
      <c r="D951" s="988">
        <v>4839</v>
      </c>
      <c r="E951" s="988">
        <v>4920</v>
      </c>
      <c r="F951" s="988">
        <v>5051</v>
      </c>
      <c r="G951" s="988">
        <v>5237</v>
      </c>
      <c r="H951" s="897">
        <v>5271</v>
      </c>
      <c r="I951" s="897">
        <v>5384</v>
      </c>
      <c r="J951" s="897">
        <v>5604</v>
      </c>
      <c r="K951" s="305">
        <f t="shared" si="2594"/>
        <v>5465</v>
      </c>
      <c r="L951" s="988">
        <v>5465</v>
      </c>
      <c r="M951" s="897">
        <v>5502</v>
      </c>
      <c r="N951" s="897">
        <v>5599</v>
      </c>
      <c r="O951" s="897">
        <v>5711</v>
      </c>
      <c r="P951" s="305">
        <f t="shared" si="2595"/>
        <v>5544</v>
      </c>
      <c r="Q951" s="988">
        <v>5544</v>
      </c>
      <c r="R951" s="897">
        <v>5558</v>
      </c>
      <c r="S951" s="897">
        <v>5593</v>
      </c>
      <c r="T951" s="897">
        <v>5799</v>
      </c>
      <c r="U951" s="305">
        <f t="shared" si="2596"/>
        <v>5597</v>
      </c>
      <c r="V951" s="988">
        <v>5597</v>
      </c>
      <c r="W951" s="897">
        <v>5649</v>
      </c>
      <c r="X951" s="897">
        <v>5693</v>
      </c>
      <c r="Y951" s="897">
        <v>5922</v>
      </c>
      <c r="Z951" s="305">
        <f t="shared" si="2597"/>
        <v>5786</v>
      </c>
      <c r="AA951" s="988">
        <v>5786</v>
      </c>
      <c r="AB951" s="897">
        <v>5856</v>
      </c>
      <c r="AC951" s="897">
        <v>5953</v>
      </c>
      <c r="AD951" s="897">
        <v>6196</v>
      </c>
      <c r="AE951" s="305">
        <f t="shared" si="2598"/>
        <v>6154</v>
      </c>
      <c r="AF951" s="988">
        <v>6154</v>
      </c>
      <c r="AG951" s="897">
        <v>6201</v>
      </c>
      <c r="AH951" s="897">
        <v>6380</v>
      </c>
      <c r="AI951" s="897">
        <v>6558</v>
      </c>
      <c r="AJ951" s="305">
        <f t="shared" si="2599"/>
        <v>6472</v>
      </c>
      <c r="AK951" s="988">
        <v>6472</v>
      </c>
      <c r="AL951" s="897">
        <v>6401</v>
      </c>
      <c r="AM951" s="897">
        <v>6367</v>
      </c>
      <c r="AN951" s="897">
        <v>6609</v>
      </c>
      <c r="AO951" s="305">
        <f t="shared" si="2600"/>
        <v>6479</v>
      </c>
      <c r="AP951" s="988">
        <v>6479</v>
      </c>
      <c r="AQ951" s="897">
        <v>7921</v>
      </c>
      <c r="AR951" s="897">
        <v>8146</v>
      </c>
      <c r="AS951" s="897">
        <v>8406</v>
      </c>
      <c r="AT951" s="305">
        <f t="shared" si="2601"/>
        <v>8364</v>
      </c>
      <c r="AU951" s="988">
        <v>8364</v>
      </c>
      <c r="AV951" s="897">
        <v>8874</v>
      </c>
      <c r="AW951" s="897">
        <v>8824</v>
      </c>
      <c r="AX951" s="897">
        <v>9150</v>
      </c>
      <c r="AY951" s="305">
        <f t="shared" si="2602"/>
        <v>9165</v>
      </c>
      <c r="AZ951" s="988">
        <v>9165</v>
      </c>
      <c r="BA951" s="897">
        <v>9483</v>
      </c>
      <c r="BB951" s="897">
        <v>9713</v>
      </c>
      <c r="BC951" s="897">
        <v>10102</v>
      </c>
      <c r="BD951" s="305">
        <f t="shared" si="2603"/>
        <v>10044</v>
      </c>
      <c r="BE951" s="988">
        <v>10044</v>
      </c>
      <c r="BF951" s="897">
        <v>10573</v>
      </c>
      <c r="BG951" s="897">
        <v>10762</v>
      </c>
      <c r="BH951" s="898">
        <v>11041</v>
      </c>
      <c r="BI951" s="92">
        <f>BH951</f>
        <v>11041</v>
      </c>
      <c r="BJ951" s="989">
        <f t="shared" si="2592"/>
        <v>11041</v>
      </c>
      <c r="BK951" s="92">
        <f>BJ951</f>
        <v>11041</v>
      </c>
      <c r="BL951" s="92">
        <f>BK951</f>
        <v>11041</v>
      </c>
      <c r="BM951" s="92">
        <f>BL951</f>
        <v>11041</v>
      </c>
      <c r="BN951" s="92">
        <f>BM951</f>
        <v>11041</v>
      </c>
      <c r="BO951" s="989">
        <f t="shared" si="2593"/>
        <v>11041</v>
      </c>
      <c r="BP951" s="989">
        <f>BO951</f>
        <v>11041</v>
      </c>
      <c r="BQ951" s="989">
        <f>BP951</f>
        <v>11041</v>
      </c>
      <c r="BR951" s="989">
        <f>BQ951</f>
        <v>11041</v>
      </c>
      <c r="BS951" s="305"/>
    </row>
    <row r="952" spans="1:71" s="300" customFormat="1" ht="15">
      <c r="A952" s="304" t="s">
        <v>123</v>
      </c>
      <c r="B952" s="166"/>
      <c r="C952" s="988">
        <v>5470</v>
      </c>
      <c r="D952" s="988">
        <v>4180</v>
      </c>
      <c r="E952" s="988">
        <v>3871</v>
      </c>
      <c r="F952" s="988">
        <v>3621</v>
      </c>
      <c r="G952" s="988">
        <v>3372</v>
      </c>
      <c r="H952" s="897">
        <v>3316</v>
      </c>
      <c r="I952" s="897">
        <v>3377</v>
      </c>
      <c r="J952" s="897">
        <v>3516</v>
      </c>
      <c r="K952" s="305">
        <f t="shared" si="2594"/>
        <v>3525</v>
      </c>
      <c r="L952" s="988">
        <v>3525</v>
      </c>
      <c r="M952" s="897">
        <v>3527</v>
      </c>
      <c r="N952" s="897">
        <v>3708</v>
      </c>
      <c r="O952" s="897">
        <v>3811</v>
      </c>
      <c r="P952" s="305">
        <f t="shared" si="2595"/>
        <v>3861</v>
      </c>
      <c r="Q952" s="988">
        <v>3861</v>
      </c>
      <c r="R952" s="897">
        <v>3807</v>
      </c>
      <c r="S952" s="897">
        <v>3819</v>
      </c>
      <c r="T952" s="897">
        <v>3886</v>
      </c>
      <c r="U952" s="305">
        <f t="shared" si="2596"/>
        <v>3954</v>
      </c>
      <c r="V952" s="988">
        <v>3954</v>
      </c>
      <c r="W952" s="897">
        <v>3988</v>
      </c>
      <c r="X952" s="897">
        <v>4037</v>
      </c>
      <c r="Y952" s="897">
        <v>4147</v>
      </c>
      <c r="Z952" s="305">
        <f t="shared" si="2597"/>
        <v>4191</v>
      </c>
      <c r="AA952" s="988">
        <v>4191</v>
      </c>
      <c r="AB952" s="897">
        <v>4409</v>
      </c>
      <c r="AC952" s="897">
        <v>4533</v>
      </c>
      <c r="AD952" s="897">
        <v>4667</v>
      </c>
      <c r="AE952" s="305">
        <f t="shared" si="2598"/>
        <v>4784</v>
      </c>
      <c r="AF952" s="988">
        <v>4784</v>
      </c>
      <c r="AG952" s="897">
        <v>4670</v>
      </c>
      <c r="AH952" s="897">
        <v>4667</v>
      </c>
      <c r="AI952" s="897">
        <v>4683</v>
      </c>
      <c r="AJ952" s="305">
        <f t="shared" si="2599"/>
        <v>4699</v>
      </c>
      <c r="AK952" s="988">
        <v>4699</v>
      </c>
      <c r="AL952" s="897">
        <v>4742</v>
      </c>
      <c r="AM952" s="897">
        <v>4683</v>
      </c>
      <c r="AN952" s="897">
        <v>4661</v>
      </c>
      <c r="AO952" s="305">
        <f t="shared" si="2600"/>
        <v>4700</v>
      </c>
      <c r="AP952" s="988">
        <v>4700</v>
      </c>
      <c r="AQ952" s="897">
        <v>4129</v>
      </c>
      <c r="AR952" s="897">
        <v>4374</v>
      </c>
      <c r="AS952" s="897">
        <v>4600</v>
      </c>
      <c r="AT952" s="305">
        <f t="shared" si="2601"/>
        <v>4722</v>
      </c>
      <c r="AU952" s="988">
        <v>4722</v>
      </c>
      <c r="AV952" s="897">
        <v>4824</v>
      </c>
      <c r="AW952" s="897">
        <v>5030</v>
      </c>
      <c r="AX952" s="897">
        <v>5273</v>
      </c>
      <c r="AY952" s="305">
        <f t="shared" si="2602"/>
        <v>5418</v>
      </c>
      <c r="AZ952" s="988">
        <v>5418</v>
      </c>
      <c r="BA952" s="897">
        <v>5471</v>
      </c>
      <c r="BB952" s="897">
        <v>5607</v>
      </c>
      <c r="BC952" s="897">
        <v>5824</v>
      </c>
      <c r="BD952" s="305">
        <f t="shared" si="2603"/>
        <v>5940</v>
      </c>
      <c r="BE952" s="988">
        <v>5940</v>
      </c>
      <c r="BF952" s="897">
        <v>5946</v>
      </c>
      <c r="BG952" s="897">
        <v>6112</v>
      </c>
      <c r="BH952" s="898">
        <v>5751</v>
      </c>
      <c r="BI952" s="92">
        <f>BH952-BI882</f>
        <v>5751</v>
      </c>
      <c r="BJ952" s="989">
        <f t="shared" si="2592"/>
        <v>5751</v>
      </c>
      <c r="BK952" s="92">
        <f>BJ952-BK882</f>
        <v>5751</v>
      </c>
      <c r="BL952" s="92">
        <f>BK952-BL882</f>
        <v>5751</v>
      </c>
      <c r="BM952" s="92">
        <f>BL952-BM882</f>
        <v>5751</v>
      </c>
      <c r="BN952" s="92">
        <f>BM952-BN882</f>
        <v>5751</v>
      </c>
      <c r="BO952" s="989">
        <f t="shared" si="2593"/>
        <v>5751</v>
      </c>
      <c r="BP952" s="989">
        <f>BO952-BP882</f>
        <v>5751</v>
      </c>
      <c r="BQ952" s="989">
        <f>BP952-BQ882</f>
        <v>5751</v>
      </c>
      <c r="BR952" s="989">
        <f>BQ952-BR882</f>
        <v>5751</v>
      </c>
      <c r="BS952" s="305"/>
    </row>
    <row r="953" spans="1:71" s="300" customFormat="1" ht="15">
      <c r="A953" s="304" t="s">
        <v>125</v>
      </c>
      <c r="B953" s="166"/>
      <c r="C953" s="988">
        <v>6355</v>
      </c>
      <c r="D953" s="988">
        <v>6552</v>
      </c>
      <c r="E953" s="988">
        <v>7251</v>
      </c>
      <c r="F953" s="988">
        <v>8767</v>
      </c>
      <c r="G953" s="988">
        <v>7621</v>
      </c>
      <c r="H953" s="897">
        <v>7512</v>
      </c>
      <c r="I953" s="897">
        <v>7500</v>
      </c>
      <c r="J953" s="897">
        <v>7555</v>
      </c>
      <c r="K953" s="305">
        <f t="shared" si="2594"/>
        <v>8490</v>
      </c>
      <c r="L953" s="988">
        <v>8490</v>
      </c>
      <c r="M953" s="897">
        <v>8408</v>
      </c>
      <c r="N953" s="897">
        <v>8520</v>
      </c>
      <c r="O953" s="897">
        <v>8468</v>
      </c>
      <c r="P953" s="305">
        <f t="shared" si="2595"/>
        <v>8518</v>
      </c>
      <c r="Q953" s="988">
        <v>8518</v>
      </c>
      <c r="R953" s="897">
        <v>8573</v>
      </c>
      <c r="S953" s="897">
        <v>8650</v>
      </c>
      <c r="T953" s="897">
        <v>8922</v>
      </c>
      <c r="U953" s="305">
        <f t="shared" si="2596"/>
        <v>8745</v>
      </c>
      <c r="V953" s="988">
        <v>8745</v>
      </c>
      <c r="W953" s="897">
        <v>8723</v>
      </c>
      <c r="X953" s="897">
        <v>8722</v>
      </c>
      <c r="Y953" s="897">
        <v>9748</v>
      </c>
      <c r="Z953" s="305">
        <f t="shared" si="2597"/>
        <v>8921</v>
      </c>
      <c r="AA953" s="988">
        <v>8921</v>
      </c>
      <c r="AB953" s="897">
        <v>8916</v>
      </c>
      <c r="AC953" s="897">
        <v>8910</v>
      </c>
      <c r="AD953" s="897">
        <v>8994</v>
      </c>
      <c r="AE953" s="305">
        <f t="shared" si="2598"/>
        <v>9565</v>
      </c>
      <c r="AF953" s="988">
        <v>9565</v>
      </c>
      <c r="AG953" s="897">
        <v>9374</v>
      </c>
      <c r="AH953" s="897">
        <v>9292</v>
      </c>
      <c r="AI953" s="897">
        <v>9363</v>
      </c>
      <c r="AJ953" s="305">
        <f t="shared" si="2599"/>
        <v>9211</v>
      </c>
      <c r="AK953" s="988">
        <v>9211</v>
      </c>
      <c r="AL953" s="897">
        <v>9214</v>
      </c>
      <c r="AM953" s="897">
        <v>9290</v>
      </c>
      <c r="AN953" s="897">
        <v>9097</v>
      </c>
      <c r="AO953" s="305">
        <f t="shared" si="2600"/>
        <v>9220</v>
      </c>
      <c r="AP953" s="988">
        <v>9220</v>
      </c>
      <c r="AQ953" s="897">
        <v>9645</v>
      </c>
      <c r="AR953" s="897">
        <v>9497</v>
      </c>
      <c r="AS953" s="897">
        <v>10442</v>
      </c>
      <c r="AT953" s="305">
        <f t="shared" si="2601"/>
        <v>10024</v>
      </c>
      <c r="AU953" s="988">
        <v>10024</v>
      </c>
      <c r="AV953" s="897">
        <v>9691</v>
      </c>
      <c r="AW953" s="897">
        <v>9376</v>
      </c>
      <c r="AX953" s="897">
        <v>9961</v>
      </c>
      <c r="AY953" s="305">
        <f t="shared" si="2602"/>
        <v>9606</v>
      </c>
      <c r="AZ953" s="988">
        <v>9606</v>
      </c>
      <c r="BA953" s="897">
        <v>9528</v>
      </c>
      <c r="BB953" s="897">
        <v>9151</v>
      </c>
      <c r="BC953" s="897">
        <v>9083</v>
      </c>
      <c r="BD953" s="305">
        <f t="shared" si="2603"/>
        <v>8809</v>
      </c>
      <c r="BE953" s="988">
        <v>8809</v>
      </c>
      <c r="BF953" s="897">
        <v>8726</v>
      </c>
      <c r="BG953" s="897">
        <v>8730</v>
      </c>
      <c r="BH953" s="898">
        <v>9013</v>
      </c>
      <c r="BI953" s="92">
        <f>BH953-BI884</f>
        <v>9013</v>
      </c>
      <c r="BJ953" s="989">
        <f t="shared" si="2592"/>
        <v>9013</v>
      </c>
      <c r="BK953" s="92">
        <f>BJ953-BK884</f>
        <v>9013</v>
      </c>
      <c r="BL953" s="92">
        <f>BK953-BL884</f>
        <v>9013</v>
      </c>
      <c r="BM953" s="92">
        <f>BL953-BM884</f>
        <v>9013</v>
      </c>
      <c r="BN953" s="92">
        <f>BM953-BN884</f>
        <v>9013</v>
      </c>
      <c r="BO953" s="989">
        <f t="shared" si="2593"/>
        <v>9013</v>
      </c>
      <c r="BP953" s="989">
        <f>BO953-BP884</f>
        <v>9013</v>
      </c>
      <c r="BQ953" s="989">
        <f>BP953-BQ884</f>
        <v>9013</v>
      </c>
      <c r="BR953" s="989">
        <f>BQ953-BR884</f>
        <v>9013</v>
      </c>
      <c r="BS953" s="305"/>
    </row>
    <row r="954" spans="1:71" s="300" customFormat="1" ht="15">
      <c r="A954" s="304" t="s">
        <v>177</v>
      </c>
      <c r="B954" s="166"/>
      <c r="C954" s="988">
        <v>864</v>
      </c>
      <c r="D954" s="988">
        <v>809</v>
      </c>
      <c r="E954" s="988">
        <v>826</v>
      </c>
      <c r="F954" s="988">
        <v>781</v>
      </c>
      <c r="G954" s="988">
        <v>624</v>
      </c>
      <c r="H954" s="897">
        <v>610</v>
      </c>
      <c r="I954" s="897">
        <v>611</v>
      </c>
      <c r="J954" s="897">
        <v>595</v>
      </c>
      <c r="K954" s="305">
        <f t="shared" si="2594"/>
        <v>591</v>
      </c>
      <c r="L954" s="988">
        <v>591</v>
      </c>
      <c r="M954" s="897">
        <v>597</v>
      </c>
      <c r="N954" s="897">
        <v>610</v>
      </c>
      <c r="O954" s="897">
        <v>575</v>
      </c>
      <c r="P954" s="305">
        <f t="shared" si="2595"/>
        <v>569</v>
      </c>
      <c r="Q954" s="988">
        <v>569</v>
      </c>
      <c r="R954" s="897">
        <v>567</v>
      </c>
      <c r="S954" s="897">
        <v>564</v>
      </c>
      <c r="T954" s="897">
        <v>567</v>
      </c>
      <c r="U954" s="305">
        <f t="shared" si="2596"/>
        <v>567</v>
      </c>
      <c r="V954" s="988">
        <v>567</v>
      </c>
      <c r="W954" s="897">
        <v>577</v>
      </c>
      <c r="X954" s="897">
        <v>573</v>
      </c>
      <c r="Y954" s="897">
        <v>590</v>
      </c>
      <c r="Z954" s="305">
        <f t="shared" si="2597"/>
        <v>569</v>
      </c>
      <c r="AA954" s="988">
        <v>569</v>
      </c>
      <c r="AB954" s="897">
        <v>576</v>
      </c>
      <c r="AC954" s="897">
        <v>589</v>
      </c>
      <c r="AD954" s="897">
        <v>616</v>
      </c>
      <c r="AE954" s="305">
        <f t="shared" si="2598"/>
        <v>600</v>
      </c>
      <c r="AF954" s="988">
        <v>600</v>
      </c>
      <c r="AG954" s="897">
        <v>614</v>
      </c>
      <c r="AH954" s="897">
        <v>633</v>
      </c>
      <c r="AI954" s="897">
        <v>613</v>
      </c>
      <c r="AJ954" s="305">
        <f t="shared" si="2599"/>
        <v>600</v>
      </c>
      <c r="AK954" s="988">
        <v>600</v>
      </c>
      <c r="AL954" s="897">
        <v>593</v>
      </c>
      <c r="AM954" s="897">
        <v>605</v>
      </c>
      <c r="AN954" s="897">
        <v>616</v>
      </c>
      <c r="AO954" s="305">
        <f t="shared" si="2600"/>
        <v>600</v>
      </c>
      <c r="AP954" s="988">
        <v>600</v>
      </c>
      <c r="AQ954" s="897">
        <v>347</v>
      </c>
      <c r="AR954" s="897">
        <v>350</v>
      </c>
      <c r="AS954" s="897">
        <v>339</v>
      </c>
      <c r="AT954" s="305">
        <f t="shared" si="2601"/>
        <v>339</v>
      </c>
      <c r="AU954" s="988">
        <v>339</v>
      </c>
      <c r="AV954" s="897">
        <v>341</v>
      </c>
      <c r="AW954" s="897">
        <v>359</v>
      </c>
      <c r="AX954" s="897">
        <v>389</v>
      </c>
      <c r="AY954" s="305">
        <f t="shared" si="2602"/>
        <v>423</v>
      </c>
      <c r="AZ954" s="988">
        <v>423</v>
      </c>
      <c r="BA954" s="897">
        <v>436</v>
      </c>
      <c r="BB954" s="897">
        <v>471</v>
      </c>
      <c r="BC954" s="897">
        <v>525</v>
      </c>
      <c r="BD954" s="305">
        <f t="shared" si="2603"/>
        <v>539</v>
      </c>
      <c r="BE954" s="988">
        <v>539</v>
      </c>
      <c r="BF954" s="897">
        <v>567</v>
      </c>
      <c r="BG954" s="897">
        <v>609</v>
      </c>
      <c r="BH954" s="898">
        <v>603</v>
      </c>
      <c r="BI954" s="92">
        <f t="shared" si="2604" ref="BI954:BI960">BH954</f>
        <v>603</v>
      </c>
      <c r="BJ954" s="989">
        <f t="shared" si="2592"/>
        <v>603</v>
      </c>
      <c r="BK954" s="92">
        <f t="shared" si="2605" ref="BK954:BN960">BJ954</f>
        <v>603</v>
      </c>
      <c r="BL954" s="92">
        <f t="shared" si="2605"/>
        <v>603</v>
      </c>
      <c r="BM954" s="92">
        <f t="shared" si="2605"/>
        <v>603</v>
      </c>
      <c r="BN954" s="92">
        <f t="shared" si="2605"/>
        <v>603</v>
      </c>
      <c r="BO954" s="989">
        <f t="shared" si="2593"/>
        <v>603</v>
      </c>
      <c r="BP954" s="989">
        <f t="shared" si="2606" ref="BP954:BR960">BO954</f>
        <v>603</v>
      </c>
      <c r="BQ954" s="989">
        <f t="shared" si="2606"/>
        <v>603</v>
      </c>
      <c r="BR954" s="989">
        <f t="shared" si="2606"/>
        <v>603</v>
      </c>
      <c r="BS954" s="305"/>
    </row>
    <row r="955" spans="1:71" s="300" customFormat="1" ht="15">
      <c r="A955" s="304" t="s">
        <v>59</v>
      </c>
      <c r="B955" s="166"/>
      <c r="C955" s="988">
        <v>1870</v>
      </c>
      <c r="D955" s="988">
        <v>999</v>
      </c>
      <c r="E955" s="988">
        <v>722</v>
      </c>
      <c r="F955" s="989"/>
      <c r="G955" s="989"/>
      <c r="H955" s="92"/>
      <c r="I955" s="92"/>
      <c r="J955" s="92"/>
      <c r="K955" s="305">
        <f>L955</f>
        <v>0</v>
      </c>
      <c r="L955" s="989"/>
      <c r="M955" s="92"/>
      <c r="N955" s="92"/>
      <c r="O955" s="92"/>
      <c r="P955" s="305">
        <f>Q955</f>
        <v>0</v>
      </c>
      <c r="Q955" s="989"/>
      <c r="R955" s="92"/>
      <c r="S955" s="92"/>
      <c r="T955" s="92"/>
      <c r="U955" s="305">
        <f>V955</f>
        <v>0</v>
      </c>
      <c r="V955" s="989"/>
      <c r="W955" s="92"/>
      <c r="X955" s="92"/>
      <c r="Y955" s="92"/>
      <c r="Z955" s="305">
        <f>AA955</f>
        <v>0</v>
      </c>
      <c r="AA955" s="989"/>
      <c r="AB955" s="92"/>
      <c r="AC955" s="92"/>
      <c r="AD955" s="92"/>
      <c r="AE955" s="305">
        <f>AF955</f>
        <v>0</v>
      </c>
      <c r="AF955" s="989"/>
      <c r="AG955" s="92"/>
      <c r="AH955" s="92"/>
      <c r="AI955" s="92"/>
      <c r="AJ955" s="305">
        <f>AK955</f>
        <v>0</v>
      </c>
      <c r="AK955" s="989"/>
      <c r="AL955" s="92"/>
      <c r="AM955" s="92"/>
      <c r="AN955" s="92"/>
      <c r="AO955" s="305">
        <f>AP955</f>
        <v>0</v>
      </c>
      <c r="AP955" s="989"/>
      <c r="AQ955" s="92"/>
      <c r="AR955" s="92"/>
      <c r="AS955" s="92"/>
      <c r="AT955" s="305">
        <f>AU955</f>
        <v>0</v>
      </c>
      <c r="AU955" s="989"/>
      <c r="AV955" s="92"/>
      <c r="AW955" s="897">
        <v>118</v>
      </c>
      <c r="AX955" s="897">
        <v>492</v>
      </c>
      <c r="AY955" s="305">
        <f>AZ955</f>
        <v>386</v>
      </c>
      <c r="AZ955" s="988">
        <v>386</v>
      </c>
      <c r="BA955" s="897">
        <v>345</v>
      </c>
      <c r="BB955" s="897">
        <v>480</v>
      </c>
      <c r="BC955" s="897">
        <v>816</v>
      </c>
      <c r="BD955" s="305">
        <f>BE955</f>
        <v>219</v>
      </c>
      <c r="BE955" s="988">
        <v>219</v>
      </c>
      <c r="BF955" s="897">
        <v>161</v>
      </c>
      <c r="BG955" s="897">
        <v>212</v>
      </c>
      <c r="BH955" s="898">
        <v>0</v>
      </c>
      <c r="BI955" s="92">
        <f t="shared" si="2607" ref="BI955:BR955">BH955</f>
        <v>0</v>
      </c>
      <c r="BJ955" s="989">
        <f t="shared" si="2607"/>
        <v>0</v>
      </c>
      <c r="BK955" s="92">
        <f t="shared" si="2607"/>
        <v>0</v>
      </c>
      <c r="BL955" s="92">
        <f t="shared" si="2607"/>
        <v>0</v>
      </c>
      <c r="BM955" s="92">
        <f t="shared" si="2607"/>
        <v>0</v>
      </c>
      <c r="BN955" s="92">
        <f t="shared" si="2607"/>
        <v>0</v>
      </c>
      <c r="BO955" s="989">
        <f t="shared" si="2607"/>
        <v>0</v>
      </c>
      <c r="BP955" s="989">
        <f t="shared" si="2607"/>
        <v>0</v>
      </c>
      <c r="BQ955" s="989">
        <f t="shared" si="2607"/>
        <v>0</v>
      </c>
      <c r="BR955" s="989">
        <f t="shared" si="2607"/>
        <v>0</v>
      </c>
      <c r="BS955" s="305"/>
    </row>
    <row r="956" spans="1:71" s="300" customFormat="1" ht="15">
      <c r="A956" s="304" t="s">
        <v>178</v>
      </c>
      <c r="B956" s="166"/>
      <c r="C956" s="988">
        <v>990</v>
      </c>
      <c r="D956" s="988">
        <v>921</v>
      </c>
      <c r="E956" s="988">
        <v>914</v>
      </c>
      <c r="F956" s="988">
        <v>989</v>
      </c>
      <c r="G956" s="988">
        <v>1024</v>
      </c>
      <c r="H956" s="897">
        <v>1024</v>
      </c>
      <c r="I956" s="897">
        <v>990</v>
      </c>
      <c r="J956" s="897">
        <v>1012</v>
      </c>
      <c r="K956" s="305">
        <f t="shared" si="2594"/>
        <v>1031</v>
      </c>
      <c r="L956" s="988">
        <v>1031</v>
      </c>
      <c r="M956" s="897">
        <v>1026</v>
      </c>
      <c r="N956" s="897">
        <v>1038</v>
      </c>
      <c r="O956" s="897">
        <v>1050</v>
      </c>
      <c r="P956" s="305">
        <f t="shared" si="2595"/>
        <v>1024</v>
      </c>
      <c r="Q956" s="988">
        <v>1024</v>
      </c>
      <c r="R956" s="897">
        <v>1011</v>
      </c>
      <c r="S956" s="897">
        <v>1011</v>
      </c>
      <c r="T956" s="897">
        <v>1013</v>
      </c>
      <c r="U956" s="305">
        <f t="shared" si="2596"/>
        <v>1065</v>
      </c>
      <c r="V956" s="988">
        <v>1065</v>
      </c>
      <c r="W956" s="897">
        <v>1067</v>
      </c>
      <c r="X956" s="897">
        <v>1072</v>
      </c>
      <c r="Y956" s="897">
        <v>1067</v>
      </c>
      <c r="Z956" s="305">
        <f t="shared" si="2597"/>
        <v>1072</v>
      </c>
      <c r="AA956" s="988">
        <v>1072</v>
      </c>
      <c r="AB956" s="897">
        <v>1060</v>
      </c>
      <c r="AC956" s="897">
        <v>1040</v>
      </c>
      <c r="AD956" s="897">
        <v>1032</v>
      </c>
      <c r="AE956" s="305">
        <f t="shared" si="2598"/>
        <v>1045</v>
      </c>
      <c r="AF956" s="988">
        <v>1045</v>
      </c>
      <c r="AG956" s="897">
        <v>1047</v>
      </c>
      <c r="AH956" s="897">
        <v>1058</v>
      </c>
      <c r="AI956" s="897">
        <v>1092</v>
      </c>
      <c r="AJ956" s="305">
        <f t="shared" si="2599"/>
        <v>1145</v>
      </c>
      <c r="AK956" s="988">
        <v>1145</v>
      </c>
      <c r="AL956" s="897">
        <v>1123</v>
      </c>
      <c r="AM956" s="897">
        <v>1100</v>
      </c>
      <c r="AN956" s="897">
        <v>1076</v>
      </c>
      <c r="AO956" s="305">
        <f t="shared" si="2600"/>
        <v>1057</v>
      </c>
      <c r="AP956" s="988">
        <v>1057</v>
      </c>
      <c r="AQ956" s="897">
        <v>1002</v>
      </c>
      <c r="AR956" s="897">
        <v>1026</v>
      </c>
      <c r="AS956" s="897">
        <v>965</v>
      </c>
      <c r="AT956" s="305">
        <f t="shared" si="2601"/>
        <v>939</v>
      </c>
      <c r="AU956" s="988">
        <v>939</v>
      </c>
      <c r="AV956" s="897">
        <v>966</v>
      </c>
      <c r="AW956" s="897">
        <v>975</v>
      </c>
      <c r="AX956" s="897">
        <v>1008</v>
      </c>
      <c r="AY956" s="305">
        <f t="shared" si="2602"/>
        <v>987</v>
      </c>
      <c r="AZ956" s="988">
        <v>987</v>
      </c>
      <c r="BA956" s="897">
        <v>971</v>
      </c>
      <c r="BB956" s="897">
        <v>945</v>
      </c>
      <c r="BC956" s="897">
        <v>909</v>
      </c>
      <c r="BD956" s="305">
        <f t="shared" si="2603"/>
        <v>859</v>
      </c>
      <c r="BE956" s="988">
        <v>859</v>
      </c>
      <c r="BF956" s="897">
        <v>802</v>
      </c>
      <c r="BG956" s="897">
        <v>777</v>
      </c>
      <c r="BH956" s="898">
        <v>714</v>
      </c>
      <c r="BI956" s="92">
        <f t="shared" si="2604"/>
        <v>714</v>
      </c>
      <c r="BJ956" s="989">
        <f t="shared" si="2592"/>
        <v>714</v>
      </c>
      <c r="BK956" s="92">
        <f t="shared" si="2605"/>
        <v>714</v>
      </c>
      <c r="BL956" s="92">
        <f t="shared" si="2605"/>
        <v>714</v>
      </c>
      <c r="BM956" s="92">
        <f t="shared" si="2605"/>
        <v>714</v>
      </c>
      <c r="BN956" s="92">
        <f t="shared" si="2605"/>
        <v>714</v>
      </c>
      <c r="BO956" s="989">
        <f t="shared" si="2593"/>
        <v>714</v>
      </c>
      <c r="BP956" s="989">
        <f t="shared" si="2606"/>
        <v>714</v>
      </c>
      <c r="BQ956" s="989">
        <f t="shared" si="2606"/>
        <v>714</v>
      </c>
      <c r="BR956" s="989">
        <f t="shared" si="2606"/>
        <v>714</v>
      </c>
      <c r="BS956" s="305"/>
    </row>
    <row r="957" spans="1:71" s="300" customFormat="1" ht="15">
      <c r="A957" s="304" t="s">
        <v>179</v>
      </c>
      <c r="B957" s="166"/>
      <c r="C957" s="988">
        <v>875</v>
      </c>
      <c r="D957" s="988">
        <v>874</v>
      </c>
      <c r="E957" s="988">
        <v>1242</v>
      </c>
      <c r="F957" s="988">
        <v>1240</v>
      </c>
      <c r="G957" s="988">
        <v>1243</v>
      </c>
      <c r="H957" s="897">
        <v>1243</v>
      </c>
      <c r="I957" s="897">
        <v>1219</v>
      </c>
      <c r="J957" s="897">
        <v>1219</v>
      </c>
      <c r="K957" s="305">
        <f t="shared" si="2594"/>
        <v>1219</v>
      </c>
      <c r="L957" s="988">
        <v>1219</v>
      </c>
      <c r="M957" s="897">
        <v>1219</v>
      </c>
      <c r="N957" s="897">
        <v>1219</v>
      </c>
      <c r="O957" s="897">
        <v>1219</v>
      </c>
      <c r="P957" s="305">
        <f t="shared" si="2595"/>
        <v>1219</v>
      </c>
      <c r="Q957" s="988">
        <v>1219</v>
      </c>
      <c r="R957" s="897">
        <v>1219</v>
      </c>
      <c r="S957" s="897">
        <v>1219</v>
      </c>
      <c r="T957" s="897">
        <v>1219</v>
      </c>
      <c r="U957" s="305">
        <f t="shared" si="2596"/>
        <v>1219</v>
      </c>
      <c r="V957" s="988">
        <v>1219</v>
      </c>
      <c r="W957" s="897">
        <v>2295</v>
      </c>
      <c r="X957" s="897">
        <v>2309</v>
      </c>
      <c r="Y957" s="897">
        <v>2309</v>
      </c>
      <c r="Z957" s="305">
        <f t="shared" si="2597"/>
        <v>2181</v>
      </c>
      <c r="AA957" s="988">
        <v>2181</v>
      </c>
      <c r="AB957" s="897">
        <v>2189</v>
      </c>
      <c r="AC957" s="897">
        <v>2189</v>
      </c>
      <c r="AD957" s="897">
        <v>2189</v>
      </c>
      <c r="AE957" s="305">
        <f t="shared" si="2598"/>
        <v>2530</v>
      </c>
      <c r="AF957" s="988">
        <v>2530</v>
      </c>
      <c r="AG957" s="897">
        <v>2547</v>
      </c>
      <c r="AH957" s="897">
        <v>2547</v>
      </c>
      <c r="AI957" s="897">
        <v>2545</v>
      </c>
      <c r="AJ957" s="305">
        <f t="shared" si="2599"/>
        <v>2545</v>
      </c>
      <c r="AK957" s="988">
        <v>2545</v>
      </c>
      <c r="AL957" s="897">
        <v>2544</v>
      </c>
      <c r="AM957" s="897">
        <v>2544</v>
      </c>
      <c r="AN957" s="897">
        <v>2544</v>
      </c>
      <c r="AO957" s="305">
        <f t="shared" si="2600"/>
        <v>2544</v>
      </c>
      <c r="AP957" s="988">
        <v>2544</v>
      </c>
      <c r="AQ957" s="897">
        <v>3350</v>
      </c>
      <c r="AR957" s="897">
        <v>3349</v>
      </c>
      <c r="AS957" s="897">
        <v>3389</v>
      </c>
      <c r="AT957" s="305">
        <f t="shared" si="2601"/>
        <v>3502</v>
      </c>
      <c r="AU957" s="988">
        <v>3502</v>
      </c>
      <c r="AV957" s="897">
        <v>3497</v>
      </c>
      <c r="AW957" s="897">
        <v>3496</v>
      </c>
      <c r="AX957" s="897">
        <v>3502</v>
      </c>
      <c r="AY957" s="305">
        <f t="shared" si="2602"/>
        <v>3502</v>
      </c>
      <c r="AZ957" s="988">
        <v>3502</v>
      </c>
      <c r="BA957" s="897">
        <v>3502</v>
      </c>
      <c r="BB957" s="897">
        <v>3502</v>
      </c>
      <c r="BC957" s="897">
        <v>3502</v>
      </c>
      <c r="BD957" s="305">
        <f t="shared" si="2603"/>
        <v>3502</v>
      </c>
      <c r="BE957" s="988">
        <v>3502</v>
      </c>
      <c r="BF957" s="897">
        <v>3502</v>
      </c>
      <c r="BG957" s="897">
        <v>3502</v>
      </c>
      <c r="BH957" s="898">
        <v>3206</v>
      </c>
      <c r="BI957" s="92">
        <f t="shared" si="2604"/>
        <v>3206</v>
      </c>
      <c r="BJ957" s="989">
        <f t="shared" si="2592"/>
        <v>3206</v>
      </c>
      <c r="BK957" s="92">
        <f t="shared" si="2605"/>
        <v>3206</v>
      </c>
      <c r="BL957" s="92">
        <f t="shared" si="2605"/>
        <v>3206</v>
      </c>
      <c r="BM957" s="92">
        <f t="shared" si="2605"/>
        <v>3206</v>
      </c>
      <c r="BN957" s="92">
        <f t="shared" si="2605"/>
        <v>3206</v>
      </c>
      <c r="BO957" s="989">
        <f t="shared" si="2593"/>
        <v>3206</v>
      </c>
      <c r="BP957" s="989">
        <f t="shared" si="2606"/>
        <v>3206</v>
      </c>
      <c r="BQ957" s="989">
        <f t="shared" si="2606"/>
        <v>3206</v>
      </c>
      <c r="BR957" s="989">
        <f t="shared" si="2606"/>
        <v>3206</v>
      </c>
      <c r="BS957" s="305"/>
    </row>
    <row r="958" spans="1:71" s="300" customFormat="1" ht="15">
      <c r="A958" s="304" t="s">
        <v>180</v>
      </c>
      <c r="B958" s="166"/>
      <c r="C958" s="988">
        <v>1872</v>
      </c>
      <c r="D958" s="988">
        <v>1605</v>
      </c>
      <c r="E958" s="988">
        <v>2069</v>
      </c>
      <c r="F958" s="988">
        <v>1804</v>
      </c>
      <c r="G958" s="988">
        <v>1937</v>
      </c>
      <c r="H958" s="897">
        <v>2187</v>
      </c>
      <c r="I958" s="897">
        <v>2920</v>
      </c>
      <c r="J958" s="897">
        <v>2682</v>
      </c>
      <c r="K958" s="305">
        <f t="shared" si="2594"/>
        <v>1992</v>
      </c>
      <c r="L958" s="988">
        <v>1992</v>
      </c>
      <c r="M958" s="897">
        <v>2128</v>
      </c>
      <c r="N958" s="897">
        <v>2356</v>
      </c>
      <c r="O958" s="897">
        <v>2091</v>
      </c>
      <c r="P958" s="305">
        <f t="shared" si="2595"/>
        <v>2010</v>
      </c>
      <c r="Q958" s="988">
        <v>2010</v>
      </c>
      <c r="R958" s="897">
        <v>2297</v>
      </c>
      <c r="S958" s="897">
        <v>2850</v>
      </c>
      <c r="T958" s="897">
        <v>2169</v>
      </c>
      <c r="U958" s="305">
        <f t="shared" si="2596"/>
        <v>1835</v>
      </c>
      <c r="V958" s="988">
        <v>1835</v>
      </c>
      <c r="W958" s="897">
        <v>2923</v>
      </c>
      <c r="X958" s="897">
        <v>3256</v>
      </c>
      <c r="Y958" s="897">
        <v>2966</v>
      </c>
      <c r="Z958" s="305">
        <f t="shared" si="2597"/>
        <v>2838</v>
      </c>
      <c r="AA958" s="988">
        <v>2838</v>
      </c>
      <c r="AB958" s="897">
        <v>3230</v>
      </c>
      <c r="AC958" s="897">
        <v>3154</v>
      </c>
      <c r="AD958" s="897">
        <v>3061</v>
      </c>
      <c r="AE958" s="305">
        <f t="shared" si="2598"/>
        <v>3007</v>
      </c>
      <c r="AF958" s="988">
        <v>3007</v>
      </c>
      <c r="AG958" s="897">
        <v>3659</v>
      </c>
      <c r="AH958" s="897">
        <v>3649</v>
      </c>
      <c r="AI958" s="897">
        <v>3383</v>
      </c>
      <c r="AJ958" s="305">
        <f t="shared" si="2599"/>
        <v>3534</v>
      </c>
      <c r="AK958" s="988">
        <v>3534</v>
      </c>
      <c r="AL958" s="897">
        <v>3876</v>
      </c>
      <c r="AM958" s="897">
        <v>3587</v>
      </c>
      <c r="AN958" s="897">
        <v>3516</v>
      </c>
      <c r="AO958" s="305">
        <f t="shared" si="2600"/>
        <v>3429</v>
      </c>
      <c r="AP958" s="988">
        <v>3429</v>
      </c>
      <c r="AQ958" s="897">
        <v>5803</v>
      </c>
      <c r="AR958" s="897">
        <v>5706</v>
      </c>
      <c r="AS958" s="897">
        <v>5966</v>
      </c>
      <c r="AT958" s="305">
        <f t="shared" si="2601"/>
        <v>6086</v>
      </c>
      <c r="AU958" s="988">
        <v>6086</v>
      </c>
      <c r="AV958" s="897">
        <v>6059</v>
      </c>
      <c r="AW958" s="897">
        <v>6351</v>
      </c>
      <c r="AX958" s="897">
        <v>6109</v>
      </c>
      <c r="AY958" s="305">
        <f t="shared" si="2602"/>
        <v>5905</v>
      </c>
      <c r="AZ958" s="988">
        <v>5905</v>
      </c>
      <c r="BA958" s="897">
        <v>5758</v>
      </c>
      <c r="BB958" s="897">
        <v>6278</v>
      </c>
      <c r="BC958" s="897">
        <v>6196</v>
      </c>
      <c r="BD958" s="305">
        <f t="shared" si="2603"/>
        <v>6051</v>
      </c>
      <c r="BE958" s="988">
        <v>6051</v>
      </c>
      <c r="BF958" s="897">
        <v>6255</v>
      </c>
      <c r="BG958" s="897">
        <v>6461</v>
      </c>
      <c r="BH958" s="898">
        <v>5834</v>
      </c>
      <c r="BI958" s="92">
        <f t="shared" si="2604"/>
        <v>5834</v>
      </c>
      <c r="BJ958" s="989">
        <f t="shared" si="2592"/>
        <v>5834</v>
      </c>
      <c r="BK958" s="92">
        <f t="shared" si="2605"/>
        <v>5834</v>
      </c>
      <c r="BL958" s="92">
        <f t="shared" si="2605"/>
        <v>5834</v>
      </c>
      <c r="BM958" s="92">
        <f t="shared" si="2605"/>
        <v>5834</v>
      </c>
      <c r="BN958" s="92">
        <f t="shared" si="2605"/>
        <v>5834</v>
      </c>
      <c r="BO958" s="989">
        <f t="shared" si="2593"/>
        <v>5834</v>
      </c>
      <c r="BP958" s="989">
        <f t="shared" si="2606"/>
        <v>5834</v>
      </c>
      <c r="BQ958" s="989">
        <f t="shared" si="2606"/>
        <v>5834</v>
      </c>
      <c r="BR958" s="989">
        <f t="shared" si="2606"/>
        <v>5834</v>
      </c>
      <c r="BS958" s="305"/>
    </row>
    <row r="959" spans="1:71" s="300" customFormat="1" ht="15">
      <c r="A959" s="304" t="s">
        <v>181</v>
      </c>
      <c r="B959" s="166"/>
      <c r="C959" s="988">
        <v>9072</v>
      </c>
      <c r="D959" s="988">
        <v>8676</v>
      </c>
      <c r="E959" s="988">
        <v>6984</v>
      </c>
      <c r="F959" s="988">
        <v>6610</v>
      </c>
      <c r="G959" s="988">
        <v>5039</v>
      </c>
      <c r="H959" s="897">
        <v>4878</v>
      </c>
      <c r="I959" s="897">
        <v>4780</v>
      </c>
      <c r="J959" s="897">
        <v>4521</v>
      </c>
      <c r="K959" s="305">
        <f t="shared" si="2594"/>
        <v>4396</v>
      </c>
      <c r="L959" s="988">
        <v>4396</v>
      </c>
      <c r="M959" s="897">
        <v>4304</v>
      </c>
      <c r="N959" s="897">
        <v>4121</v>
      </c>
      <c r="O959" s="897">
        <v>3677</v>
      </c>
      <c r="P959" s="305">
        <f t="shared" si="2595"/>
        <v>3658</v>
      </c>
      <c r="Q959" s="988">
        <v>3658</v>
      </c>
      <c r="R959" s="897">
        <v>3507</v>
      </c>
      <c r="S959" s="897">
        <v>3438</v>
      </c>
      <c r="T959" s="897">
        <v>3469</v>
      </c>
      <c r="U959" s="305">
        <f t="shared" si="2596"/>
        <v>3393</v>
      </c>
      <c r="V959" s="988">
        <v>3393</v>
      </c>
      <c r="W959" s="897">
        <v>3436</v>
      </c>
      <c r="X959" s="897">
        <v>3416</v>
      </c>
      <c r="Y959" s="897">
        <v>3422</v>
      </c>
      <c r="Z959" s="305">
        <f t="shared" si="2597"/>
        <v>3444</v>
      </c>
      <c r="AA959" s="988">
        <v>3444</v>
      </c>
      <c r="AB959" s="897">
        <v>3314</v>
      </c>
      <c r="AC959" s="897">
        <v>3271</v>
      </c>
      <c r="AD959" s="897">
        <v>3307</v>
      </c>
      <c r="AE959" s="305">
        <f t="shared" si="2598"/>
        <v>2805</v>
      </c>
      <c r="AF959" s="988">
        <v>2805</v>
      </c>
      <c r="AG959" s="897">
        <v>3050</v>
      </c>
      <c r="AH959" s="897">
        <v>3058</v>
      </c>
      <c r="AI959" s="897">
        <v>2942</v>
      </c>
      <c r="AJ959" s="305">
        <f t="shared" si="2599"/>
        <v>3044</v>
      </c>
      <c r="AK959" s="988">
        <v>3044</v>
      </c>
      <c r="AL959" s="897">
        <v>2434</v>
      </c>
      <c r="AM959" s="897">
        <v>2906</v>
      </c>
      <c r="AN959" s="897">
        <v>3064</v>
      </c>
      <c r="AO959" s="305">
        <f t="shared" si="2600"/>
        <v>3344</v>
      </c>
      <c r="AP959" s="988">
        <v>3344</v>
      </c>
      <c r="AQ959" s="92"/>
      <c r="AR959" s="92"/>
      <c r="AS959" s="92"/>
      <c r="AT959" s="305">
        <f t="shared" si="2601"/>
        <v>0</v>
      </c>
      <c r="AU959" s="989"/>
      <c r="AV959" s="92"/>
      <c r="AW959" s="92"/>
      <c r="AX959" s="92"/>
      <c r="AY959" s="305">
        <f t="shared" si="2602"/>
        <v>0</v>
      </c>
      <c r="AZ959" s="989"/>
      <c r="BA959" s="92"/>
      <c r="BB959" s="92"/>
      <c r="BC959" s="92"/>
      <c r="BD959" s="305">
        <f t="shared" si="2603"/>
        <v>0</v>
      </c>
      <c r="BE959" s="989"/>
      <c r="BF959" s="92"/>
      <c r="BG959" s="92"/>
      <c r="BH959" s="464"/>
      <c r="BI959" s="92">
        <f t="shared" si="2604"/>
        <v>0</v>
      </c>
      <c r="BJ959" s="989">
        <f t="shared" si="2592"/>
        <v>0</v>
      </c>
      <c r="BK959" s="92">
        <f t="shared" si="2605"/>
        <v>0</v>
      </c>
      <c r="BL959" s="92">
        <f t="shared" si="2605"/>
        <v>0</v>
      </c>
      <c r="BM959" s="92">
        <f t="shared" si="2605"/>
        <v>0</v>
      </c>
      <c r="BN959" s="92">
        <f t="shared" si="2605"/>
        <v>0</v>
      </c>
      <c r="BO959" s="989">
        <f t="shared" si="2593"/>
        <v>0</v>
      </c>
      <c r="BP959" s="989">
        <f t="shared" si="2606"/>
        <v>0</v>
      </c>
      <c r="BQ959" s="989">
        <f t="shared" si="2606"/>
        <v>0</v>
      </c>
      <c r="BR959" s="989">
        <f t="shared" si="2606"/>
        <v>0</v>
      </c>
      <c r="BS959" s="305"/>
    </row>
    <row r="960" spans="1:71" s="300" customFormat="1" ht="15">
      <c r="A960" s="304" t="s">
        <v>182</v>
      </c>
      <c r="B960" s="166"/>
      <c r="C960" s="989"/>
      <c r="D960" s="989"/>
      <c r="E960" s="989"/>
      <c r="F960" s="989"/>
      <c r="G960" s="988">
        <v>15593</v>
      </c>
      <c r="H960" s="897">
        <v>15390</v>
      </c>
      <c r="I960" s="92"/>
      <c r="J960" s="92"/>
      <c r="K960" s="305">
        <f t="shared" si="2594"/>
        <v>0</v>
      </c>
      <c r="L960" s="989"/>
      <c r="M960" s="92"/>
      <c r="N960" s="92"/>
      <c r="O960" s="92"/>
      <c r="P960" s="305">
        <f t="shared" si="2595"/>
        <v>0</v>
      </c>
      <c r="Q960" s="989"/>
      <c r="R960" s="92"/>
      <c r="S960" s="92"/>
      <c r="T960" s="92"/>
      <c r="U960" s="305">
        <f t="shared" si="2596"/>
        <v>0</v>
      </c>
      <c r="V960" s="989"/>
      <c r="W960" s="92"/>
      <c r="X960" s="92"/>
      <c r="Y960" s="92"/>
      <c r="Z960" s="305">
        <f t="shared" si="2597"/>
        <v>0</v>
      </c>
      <c r="AA960" s="989"/>
      <c r="AB960" s="92"/>
      <c r="AC960" s="92"/>
      <c r="AD960" s="92"/>
      <c r="AE960" s="305">
        <f t="shared" si="2598"/>
        <v>0</v>
      </c>
      <c r="AF960" s="989"/>
      <c r="AG960" s="92"/>
      <c r="AH960" s="92"/>
      <c r="AI960" s="92"/>
      <c r="AJ960" s="305">
        <f t="shared" si="2599"/>
        <v>0</v>
      </c>
      <c r="AK960" s="989"/>
      <c r="AL960" s="92"/>
      <c r="AM960" s="92"/>
      <c r="AN960" s="92"/>
      <c r="AO960" s="305">
        <f t="shared" si="2600"/>
        <v>0</v>
      </c>
      <c r="AP960" s="989"/>
      <c r="AQ960" s="897">
        <v>36829</v>
      </c>
      <c r="AR960" s="897">
        <v>36969</v>
      </c>
      <c r="AS960" s="897">
        <v>36803</v>
      </c>
      <c r="AT960" s="305">
        <f t="shared" si="2601"/>
        <v>0</v>
      </c>
      <c r="AU960" s="989"/>
      <c r="AV960" s="92"/>
      <c r="AW960" s="92"/>
      <c r="AX960" s="92"/>
      <c r="AY960" s="305">
        <f t="shared" si="2602"/>
        <v>0</v>
      </c>
      <c r="AZ960" s="989"/>
      <c r="BA960" s="92"/>
      <c r="BB960" s="92"/>
      <c r="BC960" s="92"/>
      <c r="BD960" s="305">
        <f t="shared" si="2603"/>
        <v>0</v>
      </c>
      <c r="BE960" s="989"/>
      <c r="BF960" s="92"/>
      <c r="BG960" s="92"/>
      <c r="BH960" s="898">
        <v>3163</v>
      </c>
      <c r="BI960" s="92">
        <f t="shared" si="2604"/>
        <v>3163</v>
      </c>
      <c r="BJ960" s="989">
        <f t="shared" si="2592"/>
        <v>3163</v>
      </c>
      <c r="BK960" s="92">
        <f t="shared" si="2605"/>
        <v>3163</v>
      </c>
      <c r="BL960" s="92">
        <f t="shared" si="2605"/>
        <v>3163</v>
      </c>
      <c r="BM960" s="92">
        <f t="shared" si="2605"/>
        <v>3163</v>
      </c>
      <c r="BN960" s="92">
        <f t="shared" si="2605"/>
        <v>3163</v>
      </c>
      <c r="BO960" s="989">
        <f t="shared" si="2593"/>
        <v>3163</v>
      </c>
      <c r="BP960" s="989">
        <f t="shared" si="2606"/>
        <v>3163</v>
      </c>
      <c r="BQ960" s="989">
        <f t="shared" si="2606"/>
        <v>3163</v>
      </c>
      <c r="BR960" s="989">
        <f t="shared" si="2606"/>
        <v>3163</v>
      </c>
      <c r="BS960" s="305"/>
    </row>
    <row r="961" spans="1:71" s="51" customFormat="1" ht="15">
      <c r="A961" s="87" t="s">
        <v>183</v>
      </c>
      <c r="B961" s="506"/>
      <c r="C961" s="996">
        <f t="shared" si="2608" ref="C961:AH961">SUM(C949:C960)</f>
        <v>132652</v>
      </c>
      <c r="D961" s="996">
        <f t="shared" si="2608"/>
        <v>130500</v>
      </c>
      <c r="E961" s="996">
        <f t="shared" si="2608"/>
        <v>125193</v>
      </c>
      <c r="F961" s="996">
        <f t="shared" si="2608"/>
        <v>126947</v>
      </c>
      <c r="G961" s="996">
        <f t="shared" si="2608"/>
        <v>123520</v>
      </c>
      <c r="H961" s="89">
        <f t="shared" si="2608"/>
        <v>124291</v>
      </c>
      <c r="I961" s="89">
        <f t="shared" si="2608"/>
        <v>110233</v>
      </c>
      <c r="J961" s="89">
        <f t="shared" si="2608"/>
        <v>108310</v>
      </c>
      <c r="K961" s="89">
        <f t="shared" si="2608"/>
        <v>108479</v>
      </c>
      <c r="L961" s="996">
        <f t="shared" si="2608"/>
        <v>108479</v>
      </c>
      <c r="M961" s="89">
        <f t="shared" si="2608"/>
        <v>108064</v>
      </c>
      <c r="N961" s="89">
        <f t="shared" si="2608"/>
        <v>107117</v>
      </c>
      <c r="O961" s="89">
        <f t="shared" si="2608"/>
        <v>105849</v>
      </c>
      <c r="P961" s="89">
        <f t="shared" si="2608"/>
        <v>104656</v>
      </c>
      <c r="Q961" s="996">
        <f t="shared" si="2608"/>
        <v>104656</v>
      </c>
      <c r="R961" s="89">
        <f t="shared" si="2608"/>
        <v>105947</v>
      </c>
      <c r="S961" s="89">
        <f t="shared" si="2608"/>
        <v>107284</v>
      </c>
      <c r="T961" s="89">
        <f t="shared" si="2608"/>
        <v>108537</v>
      </c>
      <c r="U961" s="89">
        <f t="shared" si="2608"/>
        <v>108610</v>
      </c>
      <c r="V961" s="996">
        <f t="shared" si="2608"/>
        <v>108610</v>
      </c>
      <c r="W961" s="89">
        <f t="shared" si="2608"/>
        <v>110243</v>
      </c>
      <c r="X961" s="89">
        <f t="shared" si="2608"/>
        <v>110865</v>
      </c>
      <c r="Y961" s="89">
        <f t="shared" si="2608"/>
        <v>113632</v>
      </c>
      <c r="Z961" s="89">
        <f t="shared" si="2608"/>
        <v>112422</v>
      </c>
      <c r="AA961" s="996">
        <f t="shared" si="2608"/>
        <v>112422</v>
      </c>
      <c r="AB961" s="89">
        <f t="shared" si="2608"/>
        <v>113289</v>
      </c>
      <c r="AC961" s="89">
        <f t="shared" si="2608"/>
        <v>113369</v>
      </c>
      <c r="AD961" s="89">
        <f t="shared" si="2608"/>
        <v>114490</v>
      </c>
      <c r="AE961" s="89">
        <f t="shared" si="2608"/>
        <v>112249</v>
      </c>
      <c r="AF961" s="996">
        <f t="shared" si="2608"/>
        <v>112249</v>
      </c>
      <c r="AG961" s="89">
        <f t="shared" si="2608"/>
        <v>115834</v>
      </c>
      <c r="AH961" s="89">
        <f t="shared" si="2608"/>
        <v>118374</v>
      </c>
      <c r="AI961" s="89">
        <f t="shared" si="2609" ref="AI961:BN961">SUM(AI949:AI960)</f>
        <v>121073</v>
      </c>
      <c r="AJ961" s="89">
        <f t="shared" si="2609"/>
        <v>119950</v>
      </c>
      <c r="AK961" s="996">
        <f t="shared" si="2609"/>
        <v>119950</v>
      </c>
      <c r="AL961" s="89">
        <f t="shared" si="2609"/>
        <v>116107</v>
      </c>
      <c r="AM961" s="89">
        <f t="shared" si="2609"/>
        <v>121266</v>
      </c>
      <c r="AN961" s="89">
        <f t="shared" si="2609"/>
        <v>122750</v>
      </c>
      <c r="AO961" s="89">
        <f t="shared" si="2609"/>
        <v>125987</v>
      </c>
      <c r="AP961" s="996">
        <f t="shared" si="2609"/>
        <v>125987</v>
      </c>
      <c r="AQ961" s="89">
        <f t="shared" si="2609"/>
        <v>129811</v>
      </c>
      <c r="AR961" s="89">
        <f t="shared" si="2609"/>
        <v>132643</v>
      </c>
      <c r="AS961" s="89">
        <f t="shared" si="2609"/>
        <v>133440</v>
      </c>
      <c r="AT961" s="89">
        <f t="shared" si="2609"/>
        <v>99440</v>
      </c>
      <c r="AU961" s="996">
        <f t="shared" si="2609"/>
        <v>99440</v>
      </c>
      <c r="AV961" s="89">
        <f t="shared" si="2609"/>
        <v>97150</v>
      </c>
      <c r="AW961" s="89">
        <f t="shared" si="2609"/>
        <v>96350</v>
      </c>
      <c r="AX961" s="89">
        <f t="shared" si="2609"/>
        <v>97676</v>
      </c>
      <c r="AY961" s="89">
        <f t="shared" si="2609"/>
        <v>97957</v>
      </c>
      <c r="AZ961" s="996">
        <f t="shared" si="2609"/>
        <v>97957</v>
      </c>
      <c r="BA961" s="89">
        <f t="shared" si="2609"/>
        <v>99631</v>
      </c>
      <c r="BB961" s="89">
        <f t="shared" si="2609"/>
        <v>100514</v>
      </c>
      <c r="BC961" s="89">
        <f t="shared" si="2609"/>
        <v>101176</v>
      </c>
      <c r="BD961" s="89">
        <f t="shared" si="2609"/>
        <v>103362</v>
      </c>
      <c r="BE961" s="996">
        <f t="shared" si="2609"/>
        <v>103362</v>
      </c>
      <c r="BF961" s="89">
        <f t="shared" si="2609"/>
        <v>105241</v>
      </c>
      <c r="BG961" s="89">
        <f t="shared" si="2609"/>
        <v>108368</v>
      </c>
      <c r="BH961" s="742">
        <f t="shared" si="2609"/>
        <v>113743</v>
      </c>
      <c r="BI961" s="90">
        <f t="shared" ca="1" si="2609"/>
        <v>114066.6025810041</v>
      </c>
      <c r="BJ961" s="997">
        <f t="shared" ca="1" si="2609"/>
        <v>114066.6025810041</v>
      </c>
      <c r="BK961" s="90">
        <f t="shared" ca="1" si="2609"/>
        <v>115946.15552013012</v>
      </c>
      <c r="BL961" s="90">
        <f t="shared" ca="1" si="2609"/>
        <v>117340.23328625067</v>
      </c>
      <c r="BM961" s="90">
        <f t="shared" ca="1" si="2609"/>
        <v>119087.01565775753</v>
      </c>
      <c r="BN961" s="90">
        <f t="shared" ca="1" si="2609"/>
        <v>119699.61967486197</v>
      </c>
      <c r="BO961" s="997">
        <f ca="1" t="shared" si="2610" ref="BO961:BR961">SUM(BO949:BO960)</f>
        <v>119699.61967486197</v>
      </c>
      <c r="BP961" s="997">
        <f t="shared" ca="1" si="2610"/>
        <v>126999.57716842432</v>
      </c>
      <c r="BQ961" s="997">
        <f t="shared" ca="1" si="2610"/>
        <v>134694.77474930667</v>
      </c>
      <c r="BR961" s="997">
        <f t="shared" ca="1" si="2610"/>
        <v>142633.83285729177</v>
      </c>
      <c r="BS961" s="57"/>
    </row>
    <row r="962" spans="1:71" s="51" customFormat="1" ht="15">
      <c r="A962" s="480"/>
      <c r="B962" s="483"/>
      <c r="C962" s="1000"/>
      <c r="D962" s="1000"/>
      <c r="E962" s="1000"/>
      <c r="F962" s="1000"/>
      <c r="G962" s="1000"/>
      <c r="H962" s="128"/>
      <c r="I962" s="128"/>
      <c r="J962" s="128"/>
      <c r="K962" s="128"/>
      <c r="L962" s="1000"/>
      <c r="M962" s="128"/>
      <c r="N962" s="128"/>
      <c r="O962" s="128"/>
      <c r="P962" s="128"/>
      <c r="Q962" s="1000"/>
      <c r="R962" s="128"/>
      <c r="S962" s="128"/>
      <c r="T962" s="128"/>
      <c r="U962" s="128"/>
      <c r="V962" s="1000"/>
      <c r="W962" s="128"/>
      <c r="X962" s="128"/>
      <c r="Y962" s="128"/>
      <c r="Z962" s="128"/>
      <c r="AA962" s="1000"/>
      <c r="AB962" s="128"/>
      <c r="AC962" s="128"/>
      <c r="AD962" s="128"/>
      <c r="AE962" s="128"/>
      <c r="AF962" s="1000"/>
      <c r="AG962" s="128"/>
      <c r="AH962" s="128"/>
      <c r="AI962" s="128"/>
      <c r="AJ962" s="128"/>
      <c r="AK962" s="1000"/>
      <c r="AL962" s="128"/>
      <c r="AM962" s="128"/>
      <c r="AN962" s="128"/>
      <c r="AO962" s="128"/>
      <c r="AP962" s="1000"/>
      <c r="AQ962" s="128"/>
      <c r="AR962" s="128"/>
      <c r="AS962" s="128"/>
      <c r="AT962" s="128"/>
      <c r="AU962" s="1000"/>
      <c r="AV962" s="128"/>
      <c r="AW962" s="128"/>
      <c r="AX962" s="128"/>
      <c r="AY962" s="128"/>
      <c r="AZ962" s="1000"/>
      <c r="BA962" s="128"/>
      <c r="BB962" s="128"/>
      <c r="BC962" s="128"/>
      <c r="BD962" s="128"/>
      <c r="BE962" s="1000"/>
      <c r="BF962" s="128"/>
      <c r="BG962" s="128"/>
      <c r="BH962" s="465"/>
      <c r="BI962" s="128"/>
      <c r="BJ962" s="1000"/>
      <c r="BK962" s="128"/>
      <c r="BL962" s="128"/>
      <c r="BM962" s="128"/>
      <c r="BN962" s="128"/>
      <c r="BO962" s="1000"/>
      <c r="BP962" s="1000"/>
      <c r="BQ962" s="1000"/>
      <c r="BR962" s="1000"/>
      <c r="BS962" s="57"/>
    </row>
    <row r="963" spans="1:71" s="51" customFormat="1" ht="15">
      <c r="A963" s="109" t="s">
        <v>184</v>
      </c>
      <c r="B963" s="483"/>
      <c r="C963" s="1000"/>
      <c r="D963" s="1000"/>
      <c r="E963" s="1000"/>
      <c r="F963" s="1000"/>
      <c r="G963" s="1000"/>
      <c r="H963" s="128"/>
      <c r="I963" s="128"/>
      <c r="J963" s="128"/>
      <c r="K963" s="128"/>
      <c r="L963" s="1000"/>
      <c r="M963" s="128"/>
      <c r="N963" s="128"/>
      <c r="O963" s="128"/>
      <c r="P963" s="128"/>
      <c r="Q963" s="1000"/>
      <c r="R963" s="128"/>
      <c r="S963" s="128"/>
      <c r="T963" s="128"/>
      <c r="U963" s="128"/>
      <c r="V963" s="1000"/>
      <c r="W963" s="128"/>
      <c r="X963" s="128"/>
      <c r="Y963" s="128"/>
      <c r="Z963" s="128"/>
      <c r="AA963" s="1000"/>
      <c r="AB963" s="128"/>
      <c r="AC963" s="128"/>
      <c r="AD963" s="128"/>
      <c r="AE963" s="128"/>
      <c r="AF963" s="1000"/>
      <c r="AG963" s="128"/>
      <c r="AH963" s="128"/>
      <c r="AI963" s="128"/>
      <c r="AJ963" s="128"/>
      <c r="AK963" s="1000"/>
      <c r="AL963" s="128"/>
      <c r="AM963" s="128"/>
      <c r="AN963" s="128"/>
      <c r="AO963" s="128"/>
      <c r="AP963" s="1000"/>
      <c r="AQ963" s="128"/>
      <c r="AR963" s="128"/>
      <c r="AS963" s="128"/>
      <c r="AT963" s="128"/>
      <c r="AU963" s="1000"/>
      <c r="AV963" s="128"/>
      <c r="AW963" s="128"/>
      <c r="AX963" s="128"/>
      <c r="AY963" s="128"/>
      <c r="AZ963" s="1000"/>
      <c r="BA963" s="128"/>
      <c r="BB963" s="128"/>
      <c r="BC963" s="128"/>
      <c r="BD963" s="128"/>
      <c r="BE963" s="1000"/>
      <c r="BF963" s="128"/>
      <c r="BG963" s="128"/>
      <c r="BH963" s="465"/>
      <c r="BI963" s="128"/>
      <c r="BJ963" s="1000"/>
      <c r="BK963" s="128"/>
      <c r="BL963" s="128"/>
      <c r="BM963" s="128"/>
      <c r="BN963" s="128"/>
      <c r="BO963" s="1000"/>
      <c r="BP963" s="1000"/>
      <c r="BQ963" s="1000"/>
      <c r="BR963" s="1000"/>
      <c r="BS963" s="57"/>
    </row>
    <row r="964" spans="1:71" s="300" customFormat="1" ht="15">
      <c r="A964" s="304" t="s">
        <v>185</v>
      </c>
      <c r="B964" s="166"/>
      <c r="C964" s="988">
        <v>19167</v>
      </c>
      <c r="D964" s="988">
        <v>19468</v>
      </c>
      <c r="E964" s="988">
        <v>20375</v>
      </c>
      <c r="F964" s="988">
        <v>21288</v>
      </c>
      <c r="G964" s="988">
        <v>21857</v>
      </c>
      <c r="H964" s="897">
        <v>21985</v>
      </c>
      <c r="I964" s="897">
        <v>22317</v>
      </c>
      <c r="J964" s="897">
        <v>22350</v>
      </c>
      <c r="K964" s="305">
        <f t="shared" si="2611" ref="K964:K973">L964</f>
        <v>22923</v>
      </c>
      <c r="L964" s="988">
        <v>22923</v>
      </c>
      <c r="M964" s="897">
        <v>23103</v>
      </c>
      <c r="N964" s="897">
        <v>23702</v>
      </c>
      <c r="O964" s="897">
        <v>23757</v>
      </c>
      <c r="P964" s="305">
        <f t="shared" si="2612" ref="P964:P973">Q964</f>
        <v>23869</v>
      </c>
      <c r="Q964" s="988">
        <v>23869</v>
      </c>
      <c r="R964" s="897">
        <v>24605</v>
      </c>
      <c r="S964" s="897">
        <v>24904</v>
      </c>
      <c r="T964" s="897">
        <v>25450</v>
      </c>
      <c r="U964" s="305">
        <f t="shared" si="2613" ref="U964:U973">V964</f>
        <v>25250</v>
      </c>
      <c r="V964" s="988">
        <v>25250</v>
      </c>
      <c r="W964" s="897">
        <v>25628</v>
      </c>
      <c r="X964" s="897">
        <v>25884</v>
      </c>
      <c r="Y964" s="897">
        <v>27154</v>
      </c>
      <c r="Z964" s="305">
        <f t="shared" si="2614" ref="Z964:Z973">AA964</f>
        <v>26325</v>
      </c>
      <c r="AA964" s="988">
        <v>26325</v>
      </c>
      <c r="AB964" s="897">
        <v>26115</v>
      </c>
      <c r="AC964" s="897">
        <v>26623</v>
      </c>
      <c r="AD964" s="897">
        <v>26939</v>
      </c>
      <c r="AE964" s="305">
        <f t="shared" si="2615" ref="AE964:AE973">AF964</f>
        <v>27423</v>
      </c>
      <c r="AF964" s="988">
        <v>27423</v>
      </c>
      <c r="AG964" s="897">
        <v>27544</v>
      </c>
      <c r="AH964" s="897">
        <v>28105</v>
      </c>
      <c r="AI964" s="897">
        <v>28076</v>
      </c>
      <c r="AJ964" s="305">
        <f t="shared" si="2616" ref="AJ964:AJ973">AK964</f>
        <v>27712</v>
      </c>
      <c r="AK964" s="988">
        <v>27712</v>
      </c>
      <c r="AL964" s="897">
        <v>27148</v>
      </c>
      <c r="AM964" s="897">
        <v>27426</v>
      </c>
      <c r="AN964" s="897">
        <v>27987</v>
      </c>
      <c r="AO964" s="305">
        <f t="shared" si="2617" ref="AO964:AO973">AP964</f>
        <v>27610</v>
      </c>
      <c r="AP964" s="988">
        <v>27610</v>
      </c>
      <c r="AQ964" s="897">
        <v>31414</v>
      </c>
      <c r="AR964" s="897">
        <v>31637</v>
      </c>
      <c r="AS964" s="897">
        <v>33286</v>
      </c>
      <c r="AT964" s="305">
        <f t="shared" si="2618" ref="AT964:AT973">AU964</f>
        <v>33060</v>
      </c>
      <c r="AU964" s="988">
        <v>33060</v>
      </c>
      <c r="AV964" s="897">
        <v>32991</v>
      </c>
      <c r="AW964" s="897">
        <v>34276</v>
      </c>
      <c r="AX964" s="897">
        <v>36529</v>
      </c>
      <c r="AY964" s="305">
        <f t="shared" si="2619" ref="AY964:AY973">AZ964</f>
        <v>37541</v>
      </c>
      <c r="AZ964" s="988">
        <v>37541</v>
      </c>
      <c r="BA964" s="897">
        <v>38644</v>
      </c>
      <c r="BB964" s="897">
        <v>40531</v>
      </c>
      <c r="BC964" s="897">
        <v>40659</v>
      </c>
      <c r="BD964" s="305">
        <f t="shared" si="2620" ref="BD964:BD973">BE964</f>
        <v>39858</v>
      </c>
      <c r="BE964" s="988">
        <v>39858</v>
      </c>
      <c r="BF964" s="897">
        <v>40143</v>
      </c>
      <c r="BG964" s="897">
        <v>41553</v>
      </c>
      <c r="BH964" s="898">
        <v>42743</v>
      </c>
      <c r="BI964" s="92">
        <f>BH964+BI887</f>
        <v>43207.493165</v>
      </c>
      <c r="BJ964" s="989">
        <f t="shared" si="2621" ref="BJ964:BJ973">BI964</f>
        <v>43207.493165</v>
      </c>
      <c r="BK964" s="92">
        <f>BJ964+BK887</f>
        <v>43693.064438000001</v>
      </c>
      <c r="BL964" s="92">
        <f>BK964+BL887</f>
        <v>44259.753239999998</v>
      </c>
      <c r="BM964" s="92">
        <f>BL964+BM887</f>
        <v>44821.678187999998</v>
      </c>
      <c r="BN964" s="92">
        <f>BM964+BN887</f>
        <v>45313.462340999999</v>
      </c>
      <c r="BO964" s="989">
        <f t="shared" si="2622" ref="BO964:BO973">BN964</f>
        <v>45313.462340999999</v>
      </c>
      <c r="BP964" s="989">
        <f>BO964+BP887</f>
        <v>47391.459969999996</v>
      </c>
      <c r="BQ964" s="989">
        <f>BP964+BQ887</f>
        <v>49525.370596999994</v>
      </c>
      <c r="BR964" s="989">
        <f>BQ964+BR887</f>
        <v>51722.982492999996</v>
      </c>
      <c r="BS964" s="305"/>
    </row>
    <row r="965" spans="1:71" s="300" customFormat="1" ht="15">
      <c r="A965" s="304" t="s">
        <v>186</v>
      </c>
      <c r="B965" s="166"/>
      <c r="C965" s="988">
        <v>12910</v>
      </c>
      <c r="D965" s="988">
        <v>13450</v>
      </c>
      <c r="E965" s="988">
        <v>14406</v>
      </c>
      <c r="F965" s="988">
        <v>14895</v>
      </c>
      <c r="G965" s="988">
        <v>12386</v>
      </c>
      <c r="H965" s="897">
        <v>12435</v>
      </c>
      <c r="I965" s="897">
        <v>12688</v>
      </c>
      <c r="J965" s="897">
        <v>12482</v>
      </c>
      <c r="K965" s="305">
        <f t="shared" si="2611"/>
        <v>12380</v>
      </c>
      <c r="L965" s="988">
        <v>12380</v>
      </c>
      <c r="M965" s="897">
        <v>12318</v>
      </c>
      <c r="N965" s="897">
        <v>12227</v>
      </c>
      <c r="O965" s="897">
        <v>12229</v>
      </c>
      <c r="P965" s="305">
        <f t="shared" si="2612"/>
        <v>12247</v>
      </c>
      <c r="Q965" s="988">
        <v>12247</v>
      </c>
      <c r="R965" s="897">
        <v>12224</v>
      </c>
      <c r="S965" s="897">
        <v>12215</v>
      </c>
      <c r="T965" s="897">
        <v>12228</v>
      </c>
      <c r="U965" s="305">
        <f t="shared" si="2613"/>
        <v>12239</v>
      </c>
      <c r="V965" s="988">
        <v>12239</v>
      </c>
      <c r="W965" s="897">
        <v>12223</v>
      </c>
      <c r="X965" s="897">
        <v>12234</v>
      </c>
      <c r="Y965" s="897">
        <v>12227</v>
      </c>
      <c r="Z965" s="305">
        <f t="shared" si="2614"/>
        <v>12549</v>
      </c>
      <c r="AA965" s="988">
        <v>12549</v>
      </c>
      <c r="AB965" s="897">
        <v>12333</v>
      </c>
      <c r="AC965" s="897">
        <v>12213</v>
      </c>
      <c r="AD965" s="897">
        <v>12214</v>
      </c>
      <c r="AE965" s="305">
        <f t="shared" si="2615"/>
        <v>12208</v>
      </c>
      <c r="AF965" s="988">
        <v>12208</v>
      </c>
      <c r="AG965" s="897">
        <v>12200</v>
      </c>
      <c r="AH965" s="897">
        <v>12337</v>
      </c>
      <c r="AI965" s="897">
        <v>12378</v>
      </c>
      <c r="AJ965" s="305">
        <f t="shared" si="2616"/>
        <v>12300</v>
      </c>
      <c r="AK965" s="988">
        <v>12300</v>
      </c>
      <c r="AL965" s="897">
        <v>12244</v>
      </c>
      <c r="AM965" s="897">
        <v>12471</v>
      </c>
      <c r="AN965" s="897">
        <v>12759</v>
      </c>
      <c r="AO965" s="305">
        <f t="shared" si="2617"/>
        <v>12768</v>
      </c>
      <c r="AP965" s="988">
        <v>12768</v>
      </c>
      <c r="AQ965" s="897">
        <v>1219</v>
      </c>
      <c r="AR965" s="897">
        <v>1239</v>
      </c>
      <c r="AS965" s="897">
        <v>1263</v>
      </c>
      <c r="AT965" s="305">
        <f t="shared" si="2618"/>
        <v>1273</v>
      </c>
      <c r="AU965" s="988">
        <v>1273</v>
      </c>
      <c r="AV965" s="897">
        <v>1274</v>
      </c>
      <c r="AW965" s="897">
        <v>1295</v>
      </c>
      <c r="AX965" s="897">
        <v>1276</v>
      </c>
      <c r="AY965" s="305">
        <f t="shared" si="2619"/>
        <v>1273</v>
      </c>
      <c r="AZ965" s="988">
        <v>1273</v>
      </c>
      <c r="BA965" s="897">
        <v>1338</v>
      </c>
      <c r="BB965" s="897">
        <v>1339</v>
      </c>
      <c r="BC965" s="897">
        <v>1309</v>
      </c>
      <c r="BD965" s="305">
        <f t="shared" si="2620"/>
        <v>1347</v>
      </c>
      <c r="BE965" s="988">
        <v>1347</v>
      </c>
      <c r="BF965" s="897">
        <v>1325</v>
      </c>
      <c r="BG965" s="897">
        <v>1344</v>
      </c>
      <c r="BH965" s="898">
        <v>274</v>
      </c>
      <c r="BI965" s="92">
        <f>BH965</f>
        <v>274</v>
      </c>
      <c r="BJ965" s="989">
        <f t="shared" si="2621"/>
        <v>274</v>
      </c>
      <c r="BK965" s="92">
        <f>BJ965</f>
        <v>274</v>
      </c>
      <c r="BL965" s="92">
        <f>BK965</f>
        <v>274</v>
      </c>
      <c r="BM965" s="92">
        <f>BL965</f>
        <v>274</v>
      </c>
      <c r="BN965" s="92">
        <f>BM965</f>
        <v>274</v>
      </c>
      <c r="BO965" s="989">
        <f t="shared" si="2622"/>
        <v>274</v>
      </c>
      <c r="BP965" s="989">
        <f>BO965</f>
        <v>274</v>
      </c>
      <c r="BQ965" s="989">
        <f>BP965</f>
        <v>274</v>
      </c>
      <c r="BR965" s="989">
        <f>BQ965</f>
        <v>274</v>
      </c>
      <c r="BS965" s="305"/>
    </row>
    <row r="966" spans="1:71" s="300" customFormat="1" ht="15">
      <c r="A966" s="304" t="s">
        <v>187</v>
      </c>
      <c r="B966" s="166"/>
      <c r="C966" s="988">
        <v>52582</v>
      </c>
      <c r="D966" s="988">
        <v>48195</v>
      </c>
      <c r="E966" s="988">
        <v>42332</v>
      </c>
      <c r="F966" s="988">
        <v>39319</v>
      </c>
      <c r="G966" s="988">
        <v>24304</v>
      </c>
      <c r="H966" s="897">
        <v>23989</v>
      </c>
      <c r="I966" s="897">
        <v>23472</v>
      </c>
      <c r="J966" s="897">
        <v>22848</v>
      </c>
      <c r="K966" s="305">
        <f t="shared" si="2611"/>
        <v>22529</v>
      </c>
      <c r="L966" s="988">
        <v>22529</v>
      </c>
      <c r="M966" s="897">
        <v>22267</v>
      </c>
      <c r="N966" s="897">
        <v>21968</v>
      </c>
      <c r="O966" s="897">
        <v>21559</v>
      </c>
      <c r="P966" s="305">
        <f t="shared" si="2612"/>
        <v>21295</v>
      </c>
      <c r="Q966" s="988">
        <v>21295</v>
      </c>
      <c r="R966" s="897">
        <v>21092</v>
      </c>
      <c r="S966" s="897">
        <v>20845</v>
      </c>
      <c r="T966" s="897">
        <v>20583</v>
      </c>
      <c r="U966" s="305">
        <f t="shared" si="2613"/>
        <v>20260</v>
      </c>
      <c r="V966" s="988">
        <v>20260</v>
      </c>
      <c r="W966" s="897">
        <v>20051</v>
      </c>
      <c r="X966" s="897">
        <v>19832</v>
      </c>
      <c r="Y966" s="897">
        <v>19650</v>
      </c>
      <c r="Z966" s="305">
        <f t="shared" si="2614"/>
        <v>19434</v>
      </c>
      <c r="AA966" s="988">
        <v>19434</v>
      </c>
      <c r="AB966" s="897">
        <v>19139</v>
      </c>
      <c r="AC966" s="897">
        <v>18888</v>
      </c>
      <c r="AD966" s="897">
        <v>18650</v>
      </c>
      <c r="AE966" s="305">
        <f t="shared" si="2615"/>
        <v>18371</v>
      </c>
      <c r="AF966" s="988">
        <v>18371</v>
      </c>
      <c r="AG966" s="897">
        <v>18161</v>
      </c>
      <c r="AH966" s="897">
        <v>17964</v>
      </c>
      <c r="AI966" s="897">
        <v>17804</v>
      </c>
      <c r="AJ966" s="305">
        <f t="shared" si="2616"/>
        <v>17692</v>
      </c>
      <c r="AK966" s="988">
        <v>17692</v>
      </c>
      <c r="AL966" s="897">
        <v>17404</v>
      </c>
      <c r="AM966" s="897">
        <v>17396</v>
      </c>
      <c r="AN966" s="897">
        <v>17288</v>
      </c>
      <c r="AO966" s="305">
        <f t="shared" si="2617"/>
        <v>17213</v>
      </c>
      <c r="AP966" s="988">
        <v>17213</v>
      </c>
      <c r="AQ966" s="897">
        <v>878</v>
      </c>
      <c r="AR966" s="897">
        <v>858</v>
      </c>
      <c r="AS966" s="897">
        <v>863</v>
      </c>
      <c r="AT966" s="305">
        <f t="shared" si="2618"/>
        <v>908</v>
      </c>
      <c r="AU966" s="988">
        <v>908</v>
      </c>
      <c r="AV966" s="897">
        <v>907</v>
      </c>
      <c r="AW966" s="897">
        <v>908</v>
      </c>
      <c r="AX966" s="897">
        <v>909</v>
      </c>
      <c r="AY966" s="305">
        <f t="shared" si="2619"/>
        <v>897</v>
      </c>
      <c r="AZ966" s="988">
        <v>897</v>
      </c>
      <c r="BA966" s="897">
        <v>878</v>
      </c>
      <c r="BB966" s="897">
        <v>881</v>
      </c>
      <c r="BC966" s="897">
        <v>884</v>
      </c>
      <c r="BD966" s="305">
        <f t="shared" si="2620"/>
        <v>888</v>
      </c>
      <c r="BE966" s="988">
        <v>888</v>
      </c>
      <c r="BF966" s="897">
        <v>890</v>
      </c>
      <c r="BG966" s="897">
        <v>891</v>
      </c>
      <c r="BH966" s="898">
        <v>0</v>
      </c>
      <c r="BI966" s="92">
        <f>BH966+BI880</f>
        <v>0</v>
      </c>
      <c r="BJ966" s="989">
        <f t="shared" si="2621"/>
        <v>0</v>
      </c>
      <c r="BK966" s="92">
        <f t="shared" si="2623" ref="BK966:BN967">BJ966+BK880</f>
        <v>0</v>
      </c>
      <c r="BL966" s="92">
        <f t="shared" si="2623"/>
        <v>0</v>
      </c>
      <c r="BM966" s="92">
        <f t="shared" si="2623"/>
        <v>0</v>
      </c>
      <c r="BN966" s="92">
        <f t="shared" si="2623"/>
        <v>0</v>
      </c>
      <c r="BO966" s="989">
        <f t="shared" si="2622"/>
        <v>0</v>
      </c>
      <c r="BP966" s="989">
        <f t="shared" si="2624" ref="BP966:BR967">BO966+BP880</f>
        <v>0</v>
      </c>
      <c r="BQ966" s="989">
        <f t="shared" si="2624"/>
        <v>0</v>
      </c>
      <c r="BR966" s="989">
        <f t="shared" si="2624"/>
        <v>0</v>
      </c>
      <c r="BS966" s="305"/>
    </row>
    <row r="967" spans="1:71" s="300" customFormat="1" ht="15">
      <c r="A967" s="304" t="s">
        <v>122</v>
      </c>
      <c r="B967" s="166"/>
      <c r="C967" s="988">
        <v>9822</v>
      </c>
      <c r="D967" s="988">
        <v>9800</v>
      </c>
      <c r="E967" s="988">
        <v>10057</v>
      </c>
      <c r="F967" s="988">
        <v>10375</v>
      </c>
      <c r="G967" s="988">
        <v>10932</v>
      </c>
      <c r="H967" s="897">
        <v>10821</v>
      </c>
      <c r="I967" s="897">
        <v>11217</v>
      </c>
      <c r="J967" s="897">
        <v>11728</v>
      </c>
      <c r="K967" s="305">
        <f t="shared" si="2611"/>
        <v>11655</v>
      </c>
      <c r="L967" s="988">
        <v>11655</v>
      </c>
      <c r="M967" s="897">
        <v>11489</v>
      </c>
      <c r="N967" s="897">
        <v>11858</v>
      </c>
      <c r="O967" s="897">
        <v>12343</v>
      </c>
      <c r="P967" s="305">
        <f t="shared" si="2612"/>
        <v>12202</v>
      </c>
      <c r="Q967" s="988">
        <v>12202</v>
      </c>
      <c r="R967" s="897">
        <v>12036</v>
      </c>
      <c r="S967" s="897">
        <v>12300</v>
      </c>
      <c r="T967" s="897">
        <v>12772</v>
      </c>
      <c r="U967" s="305">
        <f t="shared" si="2613"/>
        <v>12583</v>
      </c>
      <c r="V967" s="988">
        <v>12583</v>
      </c>
      <c r="W967" s="897">
        <v>12705</v>
      </c>
      <c r="X967" s="897">
        <v>13024</v>
      </c>
      <c r="Y967" s="897">
        <v>13535</v>
      </c>
      <c r="Z967" s="305">
        <f t="shared" si="2614"/>
        <v>13473</v>
      </c>
      <c r="AA967" s="988">
        <v>13473</v>
      </c>
      <c r="AB967" s="897">
        <v>13448</v>
      </c>
      <c r="AC967" s="897">
        <v>13824</v>
      </c>
      <c r="AD967" s="897">
        <v>14408</v>
      </c>
      <c r="AE967" s="305">
        <f t="shared" si="2615"/>
        <v>14510</v>
      </c>
      <c r="AF967" s="988">
        <v>14510</v>
      </c>
      <c r="AG967" s="897">
        <v>14323</v>
      </c>
      <c r="AH967" s="897">
        <v>14752</v>
      </c>
      <c r="AI967" s="897">
        <v>15343</v>
      </c>
      <c r="AJ967" s="305">
        <f t="shared" si="2616"/>
        <v>15343</v>
      </c>
      <c r="AK967" s="988">
        <v>15343</v>
      </c>
      <c r="AL967" s="897">
        <v>14999</v>
      </c>
      <c r="AM967" s="897">
        <v>15448</v>
      </c>
      <c r="AN967" s="897">
        <v>16029</v>
      </c>
      <c r="AO967" s="305">
        <f t="shared" si="2617"/>
        <v>15949</v>
      </c>
      <c r="AP967" s="988">
        <v>15949</v>
      </c>
      <c r="AQ967" s="897">
        <v>18177</v>
      </c>
      <c r="AR967" s="897">
        <v>18756</v>
      </c>
      <c r="AS967" s="897">
        <v>19627</v>
      </c>
      <c r="AT967" s="305">
        <f t="shared" si="2618"/>
        <v>19844</v>
      </c>
      <c r="AU967" s="988">
        <v>19844</v>
      </c>
      <c r="AV967" s="897">
        <v>20248</v>
      </c>
      <c r="AW967" s="897">
        <v>21026</v>
      </c>
      <c r="AX967" s="897">
        <v>22026</v>
      </c>
      <c r="AY967" s="305">
        <f t="shared" si="2619"/>
        <v>22311</v>
      </c>
      <c r="AZ967" s="988">
        <v>22311</v>
      </c>
      <c r="BA967" s="897">
        <v>22499</v>
      </c>
      <c r="BB967" s="897">
        <v>23355</v>
      </c>
      <c r="BC967" s="897">
        <v>24518</v>
      </c>
      <c r="BD967" s="305">
        <f t="shared" si="2620"/>
        <v>24709</v>
      </c>
      <c r="BE967" s="988">
        <v>24709</v>
      </c>
      <c r="BF967" s="897">
        <v>24945</v>
      </c>
      <c r="BG967" s="897">
        <v>25929</v>
      </c>
      <c r="BH967" s="898">
        <v>27059</v>
      </c>
      <c r="BI967" s="92">
        <f>BH967+BI881</f>
        <v>25826.867000000002</v>
      </c>
      <c r="BJ967" s="989">
        <f t="shared" si="2621"/>
        <v>25826.867000000002</v>
      </c>
      <c r="BK967" s="92">
        <f t="shared" si="2623"/>
        <v>26009.805</v>
      </c>
      <c r="BL967" s="92">
        <f t="shared" si="2623"/>
        <v>26216.069</v>
      </c>
      <c r="BM967" s="92">
        <f t="shared" si="2623"/>
        <v>26428.371999999999</v>
      </c>
      <c r="BN967" s="92">
        <f t="shared" si="2623"/>
        <v>25116.949670000002</v>
      </c>
      <c r="BO967" s="989">
        <f t="shared" si="2622"/>
        <v>25116.949670000002</v>
      </c>
      <c r="BP967" s="989">
        <f t="shared" si="2624"/>
        <v>25734.117808899999</v>
      </c>
      <c r="BQ967" s="989">
        <f t="shared" si="2624"/>
        <v>26555.416184577</v>
      </c>
      <c r="BR967" s="989">
        <f t="shared" si="2624"/>
        <v>27401.053511524311</v>
      </c>
      <c r="BS967" s="305"/>
    </row>
    <row r="968" spans="1:71" s="300" customFormat="1" ht="15">
      <c r="A968" s="304" t="s">
        <v>188</v>
      </c>
      <c r="B968" s="166"/>
      <c r="C968" s="988">
        <v>742</v>
      </c>
      <c r="D968" s="988">
        <v>737</v>
      </c>
      <c r="E968" s="988">
        <v>827</v>
      </c>
      <c r="F968" s="988">
        <v>797</v>
      </c>
      <c r="G968" s="988">
        <v>631</v>
      </c>
      <c r="H968" s="897">
        <v>785</v>
      </c>
      <c r="I968" s="897">
        <v>851</v>
      </c>
      <c r="J968" s="897">
        <v>814</v>
      </c>
      <c r="K968" s="305">
        <f t="shared" si="2611"/>
        <v>784</v>
      </c>
      <c r="L968" s="988">
        <v>784</v>
      </c>
      <c r="M968" s="897">
        <v>796</v>
      </c>
      <c r="N968" s="897">
        <v>820</v>
      </c>
      <c r="O968" s="897">
        <v>804</v>
      </c>
      <c r="P968" s="305">
        <f t="shared" si="2612"/>
        <v>842</v>
      </c>
      <c r="Q968" s="988">
        <v>842</v>
      </c>
      <c r="R968" s="897">
        <v>852</v>
      </c>
      <c r="S968" s="897">
        <v>946</v>
      </c>
      <c r="T968" s="897">
        <v>934</v>
      </c>
      <c r="U968" s="305">
        <f t="shared" si="2613"/>
        <v>879</v>
      </c>
      <c r="V968" s="988">
        <v>879</v>
      </c>
      <c r="W968" s="897">
        <v>845</v>
      </c>
      <c r="X968" s="897">
        <v>939</v>
      </c>
      <c r="Y968" s="897">
        <v>959</v>
      </c>
      <c r="Z968" s="305">
        <f t="shared" si="2614"/>
        <v>875</v>
      </c>
      <c r="AA968" s="988">
        <v>875</v>
      </c>
      <c r="AB968" s="897">
        <v>865</v>
      </c>
      <c r="AC968" s="897">
        <v>894</v>
      </c>
      <c r="AD968" s="897">
        <v>904</v>
      </c>
      <c r="AE968" s="305">
        <f t="shared" si="2615"/>
        <v>1007</v>
      </c>
      <c r="AF968" s="988">
        <v>1007</v>
      </c>
      <c r="AG968" s="897">
        <v>891</v>
      </c>
      <c r="AH968" s="897">
        <v>915</v>
      </c>
      <c r="AI968" s="897">
        <v>952</v>
      </c>
      <c r="AJ968" s="305">
        <f t="shared" si="2616"/>
        <v>929</v>
      </c>
      <c r="AK968" s="988">
        <v>929</v>
      </c>
      <c r="AL968" s="897">
        <v>892</v>
      </c>
      <c r="AM968" s="897">
        <v>882</v>
      </c>
      <c r="AN968" s="897">
        <v>1013</v>
      </c>
      <c r="AO968" s="305">
        <f t="shared" si="2617"/>
        <v>957</v>
      </c>
      <c r="AP968" s="988">
        <v>957</v>
      </c>
      <c r="AQ968" s="897">
        <v>951</v>
      </c>
      <c r="AR968" s="897">
        <v>1040</v>
      </c>
      <c r="AS968" s="897">
        <v>1179</v>
      </c>
      <c r="AT968" s="305">
        <f t="shared" si="2618"/>
        <v>1123</v>
      </c>
      <c r="AU968" s="988">
        <v>1123</v>
      </c>
      <c r="AV968" s="897">
        <v>1140</v>
      </c>
      <c r="AW968" s="897">
        <v>1216</v>
      </c>
      <c r="AX968" s="897">
        <v>1196</v>
      </c>
      <c r="AY968" s="305">
        <f t="shared" si="2619"/>
        <v>1268</v>
      </c>
      <c r="AZ968" s="988">
        <v>1268</v>
      </c>
      <c r="BA968" s="897">
        <v>1333</v>
      </c>
      <c r="BB968" s="897">
        <v>1387</v>
      </c>
      <c r="BC968" s="897">
        <v>1480</v>
      </c>
      <c r="BD968" s="305">
        <f t="shared" si="2620"/>
        <v>1353</v>
      </c>
      <c r="BE968" s="988">
        <v>1353</v>
      </c>
      <c r="BF968" s="897">
        <v>1491</v>
      </c>
      <c r="BG968" s="897">
        <v>1575</v>
      </c>
      <c r="BH968" s="898">
        <v>1727</v>
      </c>
      <c r="BI968" s="92">
        <f>BH968</f>
        <v>1727</v>
      </c>
      <c r="BJ968" s="989">
        <f t="shared" si="2621"/>
        <v>1727</v>
      </c>
      <c r="BK968" s="92">
        <f>BJ968</f>
        <v>1727</v>
      </c>
      <c r="BL968" s="92">
        <f>BK968</f>
        <v>1727</v>
      </c>
      <c r="BM968" s="92">
        <f>BL968</f>
        <v>1727</v>
      </c>
      <c r="BN968" s="92">
        <f>BM968</f>
        <v>1727</v>
      </c>
      <c r="BO968" s="989">
        <f t="shared" si="2622"/>
        <v>1727</v>
      </c>
      <c r="BP968" s="989">
        <f>BO968</f>
        <v>1727</v>
      </c>
      <c r="BQ968" s="989">
        <f>BP968</f>
        <v>1727</v>
      </c>
      <c r="BR968" s="989">
        <f>BQ968</f>
        <v>1727</v>
      </c>
      <c r="BS968" s="305"/>
    </row>
    <row r="969" spans="1:71" s="300" customFormat="1" ht="15">
      <c r="A969" s="304" t="s">
        <v>59</v>
      </c>
      <c r="B969" s="166"/>
      <c r="C969" s="989"/>
      <c r="D969" s="989"/>
      <c r="E969" s="989"/>
      <c r="F969" s="988">
        <v>597</v>
      </c>
      <c r="G969" s="988">
        <v>635</v>
      </c>
      <c r="H969" s="897">
        <v>886</v>
      </c>
      <c r="I969" s="897">
        <v>1146</v>
      </c>
      <c r="J969" s="897">
        <v>1076</v>
      </c>
      <c r="K969" s="305">
        <f t="shared" si="2611"/>
        <v>715</v>
      </c>
      <c r="L969" s="988">
        <v>715</v>
      </c>
      <c r="M969" s="897">
        <v>779</v>
      </c>
      <c r="N969" s="897">
        <v>475</v>
      </c>
      <c r="O969" s="897">
        <v>243</v>
      </c>
      <c r="P969" s="305">
        <f t="shared" si="2612"/>
        <v>90</v>
      </c>
      <c r="Q969" s="988">
        <v>90</v>
      </c>
      <c r="R969" s="897">
        <v>479</v>
      </c>
      <c r="S969" s="897">
        <v>782</v>
      </c>
      <c r="T969" s="897">
        <v>935</v>
      </c>
      <c r="U969" s="305">
        <f t="shared" si="2613"/>
        <v>487</v>
      </c>
      <c r="V969" s="988">
        <v>487</v>
      </c>
      <c r="W969" s="897">
        <v>833</v>
      </c>
      <c r="X969" s="897">
        <v>1104</v>
      </c>
      <c r="Y969" s="897">
        <v>1249</v>
      </c>
      <c r="Z969" s="305">
        <f t="shared" si="2614"/>
        <v>782</v>
      </c>
      <c r="AA969" s="988">
        <v>782</v>
      </c>
      <c r="AB969" s="897">
        <v>725</v>
      </c>
      <c r="AC969" s="897">
        <v>723</v>
      </c>
      <c r="AD969" s="897">
        <v>660</v>
      </c>
      <c r="AE969" s="305">
        <f t="shared" si="2615"/>
        <v>425</v>
      </c>
      <c r="AF969" s="988">
        <v>425</v>
      </c>
      <c r="AG969" s="897">
        <v>817</v>
      </c>
      <c r="AH969" s="897">
        <v>997</v>
      </c>
      <c r="AI969" s="897">
        <v>1079</v>
      </c>
      <c r="AJ969" s="305">
        <f t="shared" si="2616"/>
        <v>1154</v>
      </c>
      <c r="AK969" s="988">
        <v>1154</v>
      </c>
      <c r="AL969" s="897">
        <v>331</v>
      </c>
      <c r="AM969" s="897">
        <v>842</v>
      </c>
      <c r="AN969" s="897">
        <v>905</v>
      </c>
      <c r="AO969" s="305">
        <f t="shared" si="2617"/>
        <v>1355</v>
      </c>
      <c r="AP969" s="988">
        <v>1355</v>
      </c>
      <c r="AQ969" s="897">
        <v>493</v>
      </c>
      <c r="AR969" s="897">
        <v>758</v>
      </c>
      <c r="AS969" s="897">
        <v>711</v>
      </c>
      <c r="AT969" s="305">
        <f t="shared" si="2618"/>
        <v>833</v>
      </c>
      <c r="AU969" s="988">
        <v>833</v>
      </c>
      <c r="AV969" s="897">
        <v>402</v>
      </c>
      <c r="AW969" s="897">
        <v>0</v>
      </c>
      <c r="AX969" s="897">
        <v>0</v>
      </c>
      <c r="AY969" s="305">
        <f t="shared" si="2619"/>
        <v>0</v>
      </c>
      <c r="AZ969" s="988">
        <v>0</v>
      </c>
      <c r="BA969" s="92"/>
      <c r="BB969" s="92"/>
      <c r="BC969" s="92"/>
      <c r="BD969" s="305">
        <f t="shared" si="2620"/>
        <v>0</v>
      </c>
      <c r="BE969" s="989"/>
      <c r="BF969" s="92"/>
      <c r="BG969" s="92"/>
      <c r="BH969" s="898">
        <v>211</v>
      </c>
      <c r="BI969" s="92">
        <f>BH969+BI875</f>
        <v>211</v>
      </c>
      <c r="BJ969" s="989">
        <f t="shared" si="2621"/>
        <v>211</v>
      </c>
      <c r="BK969" s="92">
        <f>BJ969+BK875</f>
        <v>211</v>
      </c>
      <c r="BL969" s="92">
        <f>BK969+BL875</f>
        <v>211</v>
      </c>
      <c r="BM969" s="92">
        <f>BL969+BM875</f>
        <v>211</v>
      </c>
      <c r="BN969" s="92">
        <f>BM969+BN875</f>
        <v>211</v>
      </c>
      <c r="BO969" s="989">
        <f t="shared" si="2622"/>
        <v>211</v>
      </c>
      <c r="BP969" s="989">
        <f>BO969+BP875</f>
        <v>211</v>
      </c>
      <c r="BQ969" s="989">
        <f>BP969+BQ875</f>
        <v>211</v>
      </c>
      <c r="BR969" s="989">
        <f>BQ969+BR875</f>
        <v>211</v>
      </c>
      <c r="BS969" s="305"/>
    </row>
    <row r="970" spans="1:71" s="300" customFormat="1" ht="15">
      <c r="A970" s="304" t="s">
        <v>189</v>
      </c>
      <c r="B970" s="166"/>
      <c r="C970" s="988">
        <v>5726</v>
      </c>
      <c r="D970" s="988">
        <v>5621</v>
      </c>
      <c r="E970" s="988">
        <v>5978</v>
      </c>
      <c r="F970" s="988">
        <v>6429</v>
      </c>
      <c r="G970" s="988">
        <v>5156</v>
      </c>
      <c r="H970" s="897">
        <v>5566</v>
      </c>
      <c r="I970" s="897">
        <v>5044</v>
      </c>
      <c r="J970" s="897">
        <v>4967</v>
      </c>
      <c r="K970" s="305">
        <f t="shared" si="2611"/>
        <v>5653</v>
      </c>
      <c r="L970" s="988">
        <v>5653</v>
      </c>
      <c r="M970" s="897">
        <v>5635</v>
      </c>
      <c r="N970" s="897">
        <v>5462</v>
      </c>
      <c r="O970" s="897">
        <v>5558</v>
      </c>
      <c r="P970" s="305">
        <f t="shared" si="2612"/>
        <v>5304</v>
      </c>
      <c r="Q970" s="988">
        <v>5304</v>
      </c>
      <c r="R970" s="897">
        <v>5704</v>
      </c>
      <c r="S970" s="897">
        <v>6192</v>
      </c>
      <c r="T970" s="897">
        <v>6122</v>
      </c>
      <c r="U970" s="305">
        <f t="shared" si="2613"/>
        <v>6599</v>
      </c>
      <c r="V970" s="988">
        <v>6599</v>
      </c>
      <c r="W970" s="897">
        <v>7018</v>
      </c>
      <c r="X970" s="897">
        <v>6583</v>
      </c>
      <c r="Y970" s="897">
        <v>6968</v>
      </c>
      <c r="Z970" s="305">
        <f t="shared" si="2614"/>
        <v>6639</v>
      </c>
      <c r="AA970" s="988">
        <v>6639</v>
      </c>
      <c r="AB970" s="897">
        <v>7226</v>
      </c>
      <c r="AC970" s="897">
        <v>7363</v>
      </c>
      <c r="AD970" s="897">
        <v>7325</v>
      </c>
      <c r="AE970" s="305">
        <f t="shared" si="2615"/>
        <v>7737</v>
      </c>
      <c r="AF970" s="988">
        <v>7737</v>
      </c>
      <c r="AG970" s="897">
        <v>8977</v>
      </c>
      <c r="AH970" s="897">
        <v>9142</v>
      </c>
      <c r="AI970" s="897">
        <v>9729</v>
      </c>
      <c r="AJ970" s="305">
        <f t="shared" si="2616"/>
        <v>9147</v>
      </c>
      <c r="AK970" s="988">
        <v>9147</v>
      </c>
      <c r="AL970" s="897">
        <v>9849</v>
      </c>
      <c r="AM970" s="897">
        <v>10275</v>
      </c>
      <c r="AN970" s="897">
        <v>9807</v>
      </c>
      <c r="AO970" s="305">
        <f t="shared" si="2617"/>
        <v>8749</v>
      </c>
      <c r="AP970" s="988">
        <v>8749</v>
      </c>
      <c r="AQ970" s="897">
        <v>8508</v>
      </c>
      <c r="AR970" s="897">
        <v>9392</v>
      </c>
      <c r="AS970" s="897">
        <v>9403</v>
      </c>
      <c r="AT970" s="305">
        <f t="shared" si="2618"/>
        <v>9296</v>
      </c>
      <c r="AU970" s="988">
        <v>9296</v>
      </c>
      <c r="AV970" s="897">
        <v>9077</v>
      </c>
      <c r="AW970" s="897">
        <v>9635</v>
      </c>
      <c r="AX970" s="897">
        <v>10212</v>
      </c>
      <c r="AY970" s="305">
        <f t="shared" si="2619"/>
        <v>9353</v>
      </c>
      <c r="AZ970" s="988">
        <v>9353</v>
      </c>
      <c r="BA970" s="897">
        <v>9114</v>
      </c>
      <c r="BB970" s="897">
        <v>9700</v>
      </c>
      <c r="BC970" s="897">
        <v>9933</v>
      </c>
      <c r="BD970" s="305">
        <f t="shared" si="2620"/>
        <v>9635</v>
      </c>
      <c r="BE970" s="988">
        <v>9635</v>
      </c>
      <c r="BF970" s="897">
        <v>10029</v>
      </c>
      <c r="BG970" s="897">
        <v>10421</v>
      </c>
      <c r="BH970" s="898">
        <v>10644</v>
      </c>
      <c r="BI970" s="92">
        <f>BH970</f>
        <v>10644</v>
      </c>
      <c r="BJ970" s="989">
        <f t="shared" si="2621"/>
        <v>10644</v>
      </c>
      <c r="BK970" s="92">
        <f>BJ970</f>
        <v>10644</v>
      </c>
      <c r="BL970" s="92">
        <f>BK970</f>
        <v>10644</v>
      </c>
      <c r="BM970" s="92">
        <f>BL970</f>
        <v>10644</v>
      </c>
      <c r="BN970" s="92">
        <f>BM970</f>
        <v>10644</v>
      </c>
      <c r="BO970" s="989">
        <f t="shared" si="2622"/>
        <v>10644</v>
      </c>
      <c r="BP970" s="989">
        <f>BO970</f>
        <v>10644</v>
      </c>
      <c r="BQ970" s="989">
        <f>BP970</f>
        <v>10644</v>
      </c>
      <c r="BR970" s="989">
        <f>BQ970</f>
        <v>10644</v>
      </c>
      <c r="BS970" s="305"/>
    </row>
    <row r="971" spans="1:71" s="300" customFormat="1" ht="15">
      <c r="A971" s="304" t="s">
        <v>190</v>
      </c>
      <c r="B971" s="166"/>
      <c r="C971" s="988">
        <v>5910</v>
      </c>
      <c r="D971" s="988">
        <v>5908</v>
      </c>
      <c r="E971" s="988">
        <v>5908</v>
      </c>
      <c r="F971" s="988">
        <v>6057</v>
      </c>
      <c r="G971" s="988">
        <v>6201</v>
      </c>
      <c r="H971" s="897">
        <v>6200</v>
      </c>
      <c r="I971" s="897">
        <v>5846</v>
      </c>
      <c r="J971" s="897">
        <v>5195</v>
      </c>
      <c r="K971" s="305">
        <f t="shared" si="2611"/>
        <v>5140</v>
      </c>
      <c r="L971" s="988">
        <v>5140</v>
      </c>
      <c r="M971" s="897">
        <v>5194</v>
      </c>
      <c r="N971" s="897">
        <v>5186</v>
      </c>
      <c r="O971" s="897">
        <v>5175</v>
      </c>
      <c r="P971" s="305">
        <f t="shared" si="2612"/>
        <v>5124</v>
      </c>
      <c r="Q971" s="988">
        <v>5124</v>
      </c>
      <c r="R971" s="897">
        <v>5108</v>
      </c>
      <c r="S971" s="897">
        <v>5109</v>
      </c>
      <c r="T971" s="897">
        <v>5110</v>
      </c>
      <c r="U971" s="305">
        <f t="shared" si="2613"/>
        <v>6347</v>
      </c>
      <c r="V971" s="988">
        <v>6347</v>
      </c>
      <c r="W971" s="897">
        <v>6346</v>
      </c>
      <c r="X971" s="897">
        <v>6348</v>
      </c>
      <c r="Y971" s="897">
        <v>6349</v>
      </c>
      <c r="Z971" s="305">
        <f t="shared" si="2614"/>
        <v>6350</v>
      </c>
      <c r="AA971" s="988">
        <v>6350</v>
      </c>
      <c r="AB971" s="897">
        <v>6847</v>
      </c>
      <c r="AC971" s="897">
        <v>6448</v>
      </c>
      <c r="AD971" s="897">
        <v>6450</v>
      </c>
      <c r="AE971" s="305">
        <f t="shared" si="2615"/>
        <v>6451</v>
      </c>
      <c r="AF971" s="988">
        <v>6451</v>
      </c>
      <c r="AG971" s="897">
        <v>6453</v>
      </c>
      <c r="AH971" s="897">
        <v>6628</v>
      </c>
      <c r="AI971" s="897">
        <v>6630</v>
      </c>
      <c r="AJ971" s="305">
        <f t="shared" si="2616"/>
        <v>6631</v>
      </c>
      <c r="AK971" s="988">
        <v>6631</v>
      </c>
      <c r="AL971" s="897">
        <v>6633</v>
      </c>
      <c r="AM971" s="897">
        <v>6634</v>
      </c>
      <c r="AN971" s="897">
        <v>6635</v>
      </c>
      <c r="AO971" s="305">
        <f t="shared" si="2617"/>
        <v>7825</v>
      </c>
      <c r="AP971" s="988">
        <v>7825</v>
      </c>
      <c r="AQ971" s="897">
        <v>7996</v>
      </c>
      <c r="AR971" s="897">
        <v>7996</v>
      </c>
      <c r="AS971" s="897">
        <v>7980</v>
      </c>
      <c r="AT971" s="305">
        <f t="shared" si="2618"/>
        <v>7976</v>
      </c>
      <c r="AU971" s="988">
        <v>7976</v>
      </c>
      <c r="AV971" s="897">
        <v>7973</v>
      </c>
      <c r="AW971" s="897">
        <v>7970</v>
      </c>
      <c r="AX971" s="897">
        <v>7967</v>
      </c>
      <c r="AY971" s="305">
        <f t="shared" si="2619"/>
        <v>7964</v>
      </c>
      <c r="AZ971" s="988">
        <v>7964</v>
      </c>
      <c r="BA971" s="897">
        <v>8452</v>
      </c>
      <c r="BB971" s="897">
        <v>7949</v>
      </c>
      <c r="BC971" s="897">
        <v>7946</v>
      </c>
      <c r="BD971" s="305">
        <f t="shared" si="2620"/>
        <v>7942</v>
      </c>
      <c r="BE971" s="988">
        <v>7942</v>
      </c>
      <c r="BF971" s="897">
        <v>7938</v>
      </c>
      <c r="BG971" s="897">
        <v>8082</v>
      </c>
      <c r="BH971" s="898">
        <v>8083</v>
      </c>
      <c r="BI971" s="92">
        <f>BH971+BI914+BI915</f>
        <v>8083</v>
      </c>
      <c r="BJ971" s="989">
        <f t="shared" si="2621"/>
        <v>8083</v>
      </c>
      <c r="BK971" s="92">
        <f>BJ971+BK914+BK915</f>
        <v>8083</v>
      </c>
      <c r="BL971" s="92">
        <f>BK971+BL914+BL915</f>
        <v>8083</v>
      </c>
      <c r="BM971" s="92">
        <f>BL971+BM914+BM915</f>
        <v>8083</v>
      </c>
      <c r="BN971" s="92">
        <f>BM971+BN914+BN915</f>
        <v>8083</v>
      </c>
      <c r="BO971" s="989">
        <f t="shared" si="2622"/>
        <v>8083</v>
      </c>
      <c r="BP971" s="989">
        <f>BO971+BP914+BP915</f>
        <v>8083</v>
      </c>
      <c r="BQ971" s="989">
        <f>BP971+BQ914+BQ915</f>
        <v>8083</v>
      </c>
      <c r="BR971" s="989">
        <f>BQ971+BR914+BR915</f>
        <v>8083</v>
      </c>
      <c r="BS971" s="305"/>
    </row>
    <row r="972" spans="1:71" s="300" customFormat="1" ht="15">
      <c r="A972" s="304" t="s">
        <v>181</v>
      </c>
      <c r="B972" s="166"/>
      <c r="C972" s="988">
        <v>9072</v>
      </c>
      <c r="D972" s="988">
        <v>8676</v>
      </c>
      <c r="E972" s="988">
        <v>6984</v>
      </c>
      <c r="F972" s="988">
        <v>6610</v>
      </c>
      <c r="G972" s="988">
        <v>5039</v>
      </c>
      <c r="H972" s="897">
        <v>4878</v>
      </c>
      <c r="I972" s="897">
        <v>4780</v>
      </c>
      <c r="J972" s="897">
        <v>4521</v>
      </c>
      <c r="K972" s="305">
        <f t="shared" si="2611"/>
        <v>4396</v>
      </c>
      <c r="L972" s="988">
        <v>4396</v>
      </c>
      <c r="M972" s="897">
        <v>4304</v>
      </c>
      <c r="N972" s="897">
        <v>4121</v>
      </c>
      <c r="O972" s="897">
        <v>3677</v>
      </c>
      <c r="P972" s="305">
        <f t="shared" si="2612"/>
        <v>3658</v>
      </c>
      <c r="Q972" s="988">
        <v>3658</v>
      </c>
      <c r="R972" s="897">
        <v>3507</v>
      </c>
      <c r="S972" s="897">
        <v>3438</v>
      </c>
      <c r="T972" s="897">
        <v>3469</v>
      </c>
      <c r="U972" s="305">
        <f t="shared" si="2613"/>
        <v>3393</v>
      </c>
      <c r="V972" s="988">
        <v>3393</v>
      </c>
      <c r="W972" s="897">
        <v>3436</v>
      </c>
      <c r="X972" s="897">
        <v>3416</v>
      </c>
      <c r="Y972" s="897">
        <v>3422</v>
      </c>
      <c r="Z972" s="305">
        <f t="shared" si="2614"/>
        <v>3444</v>
      </c>
      <c r="AA972" s="988">
        <v>3444</v>
      </c>
      <c r="AB972" s="897">
        <v>3314</v>
      </c>
      <c r="AC972" s="897">
        <v>3271</v>
      </c>
      <c r="AD972" s="897">
        <v>3307</v>
      </c>
      <c r="AE972" s="305">
        <f t="shared" si="2615"/>
        <v>2805</v>
      </c>
      <c r="AF972" s="988">
        <v>2805</v>
      </c>
      <c r="AG972" s="897">
        <v>3050</v>
      </c>
      <c r="AH972" s="897">
        <v>3058</v>
      </c>
      <c r="AI972" s="897">
        <v>2942</v>
      </c>
      <c r="AJ972" s="305">
        <f t="shared" si="2616"/>
        <v>3044</v>
      </c>
      <c r="AK972" s="988">
        <v>3044</v>
      </c>
      <c r="AL972" s="897">
        <v>2434</v>
      </c>
      <c r="AM972" s="897">
        <v>2906</v>
      </c>
      <c r="AN972" s="897">
        <v>3064</v>
      </c>
      <c r="AO972" s="305">
        <f t="shared" si="2617"/>
        <v>3344</v>
      </c>
      <c r="AP972" s="988">
        <v>3344</v>
      </c>
      <c r="AQ972" s="92"/>
      <c r="AR972" s="92"/>
      <c r="AS972" s="92"/>
      <c r="AT972" s="305">
        <f t="shared" si="2618"/>
        <v>0</v>
      </c>
      <c r="AU972" s="989"/>
      <c r="AV972" s="92"/>
      <c r="AW972" s="92"/>
      <c r="AX972" s="92"/>
      <c r="AY972" s="305">
        <f t="shared" si="2619"/>
        <v>0</v>
      </c>
      <c r="AZ972" s="989"/>
      <c r="BA972" s="92"/>
      <c r="BB972" s="92"/>
      <c r="BC972" s="92"/>
      <c r="BD972" s="305">
        <f t="shared" si="2620"/>
        <v>0</v>
      </c>
      <c r="BE972" s="989"/>
      <c r="BF972" s="92"/>
      <c r="BG972" s="92"/>
      <c r="BH972" s="464"/>
      <c r="BI972" s="92">
        <f>BH972</f>
        <v>0</v>
      </c>
      <c r="BJ972" s="989">
        <f t="shared" si="2621"/>
        <v>0</v>
      </c>
      <c r="BK972" s="92">
        <f t="shared" si="2625" ref="BK972:BN973">BJ972</f>
        <v>0</v>
      </c>
      <c r="BL972" s="92">
        <f t="shared" si="2625"/>
        <v>0</v>
      </c>
      <c r="BM972" s="92">
        <f t="shared" si="2625"/>
        <v>0</v>
      </c>
      <c r="BN972" s="92">
        <f t="shared" si="2625"/>
        <v>0</v>
      </c>
      <c r="BO972" s="989">
        <f t="shared" si="2622"/>
        <v>0</v>
      </c>
      <c r="BP972" s="989">
        <f t="shared" si="2626" ref="BP972:BR973">BO972</f>
        <v>0</v>
      </c>
      <c r="BQ972" s="989">
        <f t="shared" si="2626"/>
        <v>0</v>
      </c>
      <c r="BR972" s="989">
        <f t="shared" si="2626"/>
        <v>0</v>
      </c>
      <c r="BS972" s="305"/>
    </row>
    <row r="973" spans="1:71" s="300" customFormat="1" ht="15">
      <c r="A973" s="110" t="s">
        <v>191</v>
      </c>
      <c r="B973" s="395"/>
      <c r="C973" s="995"/>
      <c r="D973" s="995"/>
      <c r="E973" s="995"/>
      <c r="F973" s="995"/>
      <c r="G973" s="990">
        <v>14899</v>
      </c>
      <c r="H973" s="900">
        <v>14641</v>
      </c>
      <c r="I973" s="115"/>
      <c r="J973" s="115"/>
      <c r="K973" s="58">
        <f t="shared" si="2611"/>
        <v>0</v>
      </c>
      <c r="L973" s="995"/>
      <c r="M973" s="115"/>
      <c r="N973" s="115"/>
      <c r="O973" s="115"/>
      <c r="P973" s="58">
        <f t="shared" si="2612"/>
        <v>0</v>
      </c>
      <c r="Q973" s="995"/>
      <c r="R973" s="115"/>
      <c r="S973" s="115"/>
      <c r="T973" s="115"/>
      <c r="U973" s="58">
        <f t="shared" si="2613"/>
        <v>0</v>
      </c>
      <c r="V973" s="995"/>
      <c r="W973" s="115"/>
      <c r="X973" s="115"/>
      <c r="Y973" s="115"/>
      <c r="Z973" s="58">
        <f t="shared" si="2614"/>
        <v>0</v>
      </c>
      <c r="AA973" s="995"/>
      <c r="AB973" s="115"/>
      <c r="AC973" s="115"/>
      <c r="AD973" s="115"/>
      <c r="AE973" s="58">
        <f t="shared" si="2615"/>
        <v>0</v>
      </c>
      <c r="AF973" s="995"/>
      <c r="AG973" s="115"/>
      <c r="AH973" s="115"/>
      <c r="AI973" s="115"/>
      <c r="AJ973" s="58">
        <f t="shared" si="2616"/>
        <v>0</v>
      </c>
      <c r="AK973" s="995"/>
      <c r="AL973" s="115"/>
      <c r="AM973" s="115"/>
      <c r="AN973" s="115"/>
      <c r="AO973" s="58">
        <f t="shared" si="2617"/>
        <v>0</v>
      </c>
      <c r="AP973" s="995"/>
      <c r="AQ973" s="900">
        <v>33383</v>
      </c>
      <c r="AR973" s="900">
        <v>32775</v>
      </c>
      <c r="AS973" s="900">
        <v>32421</v>
      </c>
      <c r="AT973" s="58">
        <f t="shared" si="2618"/>
        <v>0</v>
      </c>
      <c r="AU973" s="995"/>
      <c r="AV973" s="115"/>
      <c r="AW973" s="115"/>
      <c r="AX973" s="115"/>
      <c r="AY973" s="58">
        <f t="shared" si="2619"/>
        <v>0</v>
      </c>
      <c r="AZ973" s="995"/>
      <c r="BA973" s="115"/>
      <c r="BB973" s="115"/>
      <c r="BC973" s="115"/>
      <c r="BD973" s="58">
        <f t="shared" si="2620"/>
        <v>0</v>
      </c>
      <c r="BE973" s="995"/>
      <c r="BF973" s="115"/>
      <c r="BG973" s="115"/>
      <c r="BH973" s="901">
        <v>2164</v>
      </c>
      <c r="BI973" s="115">
        <f>BH973</f>
        <v>2164</v>
      </c>
      <c r="BJ973" s="995">
        <f t="shared" si="2621"/>
        <v>2164</v>
      </c>
      <c r="BK973" s="115">
        <f t="shared" si="2625"/>
        <v>2164</v>
      </c>
      <c r="BL973" s="115">
        <f t="shared" si="2625"/>
        <v>2164</v>
      </c>
      <c r="BM973" s="115">
        <f t="shared" si="2625"/>
        <v>2164</v>
      </c>
      <c r="BN973" s="115">
        <f t="shared" si="2625"/>
        <v>2164</v>
      </c>
      <c r="BO973" s="995">
        <f t="shared" si="2622"/>
        <v>2164</v>
      </c>
      <c r="BP973" s="995">
        <f t="shared" si="2626"/>
        <v>2164</v>
      </c>
      <c r="BQ973" s="995">
        <f t="shared" si="2626"/>
        <v>2164</v>
      </c>
      <c r="BR973" s="995">
        <f t="shared" si="2626"/>
        <v>2164</v>
      </c>
      <c r="BS973" s="305"/>
    </row>
    <row r="974" spans="1:71" s="51" customFormat="1" ht="15">
      <c r="A974" s="87" t="s">
        <v>192</v>
      </c>
      <c r="B974" s="506"/>
      <c r="C974" s="996">
        <f t="shared" si="2627" ref="C974:AK974">SUM(C964:C973)</f>
        <v>115931</v>
      </c>
      <c r="D974" s="996">
        <f t="shared" si="2627"/>
        <v>111855</v>
      </c>
      <c r="E974" s="996">
        <f t="shared" si="2627"/>
        <v>106867</v>
      </c>
      <c r="F974" s="996">
        <f t="shared" si="2627"/>
        <v>106367</v>
      </c>
      <c r="G974" s="996">
        <f t="shared" si="2627"/>
        <v>102040</v>
      </c>
      <c r="H974" s="89">
        <f t="shared" si="2627"/>
        <v>102186</v>
      </c>
      <c r="I974" s="89">
        <f t="shared" si="2627"/>
        <v>87361</v>
      </c>
      <c r="J974" s="89">
        <f t="shared" si="2627"/>
        <v>85981</v>
      </c>
      <c r="K974" s="89">
        <f t="shared" si="2627"/>
        <v>86175</v>
      </c>
      <c r="L974" s="996">
        <f t="shared" si="2627"/>
        <v>86175</v>
      </c>
      <c r="M974" s="89">
        <f t="shared" si="2627"/>
        <v>85885</v>
      </c>
      <c r="N974" s="89">
        <f t="shared" si="2627"/>
        <v>85819</v>
      </c>
      <c r="O974" s="89">
        <f t="shared" si="2627"/>
        <v>85345</v>
      </c>
      <c r="P974" s="89">
        <f t="shared" si="2627"/>
        <v>84631</v>
      </c>
      <c r="Q974" s="996">
        <f t="shared" si="2627"/>
        <v>84631</v>
      </c>
      <c r="R974" s="89">
        <f t="shared" si="2627"/>
        <v>85607</v>
      </c>
      <c r="S974" s="89">
        <f t="shared" si="2627"/>
        <v>86731</v>
      </c>
      <c r="T974" s="89">
        <f t="shared" si="2627"/>
        <v>87603</v>
      </c>
      <c r="U974" s="89">
        <f t="shared" si="2627"/>
        <v>88037</v>
      </c>
      <c r="V974" s="996">
        <f t="shared" si="2627"/>
        <v>88037</v>
      </c>
      <c r="W974" s="89">
        <f t="shared" si="2627"/>
        <v>89085</v>
      </c>
      <c r="X974" s="89">
        <f t="shared" si="2627"/>
        <v>89364</v>
      </c>
      <c r="Y974" s="89">
        <f t="shared" si="2627"/>
        <v>91513</v>
      </c>
      <c r="Z974" s="89">
        <f t="shared" si="2627"/>
        <v>89871</v>
      </c>
      <c r="AA974" s="996">
        <f t="shared" si="2627"/>
        <v>89871</v>
      </c>
      <c r="AB974" s="89">
        <f t="shared" si="2627"/>
        <v>90012</v>
      </c>
      <c r="AC974" s="89">
        <f t="shared" si="2627"/>
        <v>90247</v>
      </c>
      <c r="AD974" s="89">
        <f t="shared" si="2627"/>
        <v>90857</v>
      </c>
      <c r="AE974" s="89">
        <f t="shared" si="2627"/>
        <v>90937</v>
      </c>
      <c r="AF974" s="996">
        <f t="shared" si="2627"/>
        <v>90937</v>
      </c>
      <c r="AG974" s="89">
        <f t="shared" si="2627"/>
        <v>92416</v>
      </c>
      <c r="AH974" s="89">
        <f t="shared" si="2627"/>
        <v>93898</v>
      </c>
      <c r="AI974" s="89">
        <f t="shared" si="2627"/>
        <v>94933</v>
      </c>
      <c r="AJ974" s="89">
        <f t="shared" si="2627"/>
        <v>93952</v>
      </c>
      <c r="AK974" s="996">
        <f t="shared" si="2627"/>
        <v>93952</v>
      </c>
      <c r="AL974" s="89">
        <f>SUM(AL964:AL973)</f>
        <v>91934</v>
      </c>
      <c r="AM974" s="89">
        <f>SUM(AM964:AM973)</f>
        <v>94280</v>
      </c>
      <c r="AN974" s="89">
        <f>SUM(AN964:AN973)</f>
        <v>95487</v>
      </c>
      <c r="AO974" s="89">
        <f t="shared" si="2628" ref="AO974:AP974">SUM(AO964:AO973)</f>
        <v>95770</v>
      </c>
      <c r="AP974" s="996">
        <f t="shared" si="2628"/>
        <v>95770</v>
      </c>
      <c r="AQ974" s="89">
        <f t="shared" si="2629" ref="AQ974:AV974">SUM(AQ964:AQ973)</f>
        <v>103019</v>
      </c>
      <c r="AR974" s="89">
        <f t="shared" si="2629"/>
        <v>104451</v>
      </c>
      <c r="AS974" s="89">
        <f t="shared" si="2629"/>
        <v>106733</v>
      </c>
      <c r="AT974" s="89">
        <f t="shared" si="2629"/>
        <v>74313</v>
      </c>
      <c r="AU974" s="996">
        <f t="shared" si="2629"/>
        <v>74313</v>
      </c>
      <c r="AV974" s="89">
        <f t="shared" si="2629"/>
        <v>74012</v>
      </c>
      <c r="AW974" s="89">
        <f t="shared" si="2630" ref="AW974:BJ974">SUM(AW964:AW973)</f>
        <v>76326</v>
      </c>
      <c r="AX974" s="89">
        <f t="shared" si="2630"/>
        <v>80115</v>
      </c>
      <c r="AY974" s="89">
        <f t="shared" si="2630"/>
        <v>80607</v>
      </c>
      <c r="AZ974" s="996">
        <f t="shared" si="2630"/>
        <v>80607</v>
      </c>
      <c r="BA974" s="89">
        <f t="shared" si="2631" ref="BA974:BI974">SUM(BA964:BA973)</f>
        <v>82258</v>
      </c>
      <c r="BB974" s="89">
        <f t="shared" si="2631"/>
        <v>85142</v>
      </c>
      <c r="BC974" s="89">
        <f t="shared" si="2631"/>
        <v>86729</v>
      </c>
      <c r="BD974" s="89">
        <f t="shared" si="2631"/>
        <v>85732</v>
      </c>
      <c r="BE974" s="996">
        <f t="shared" si="2631"/>
        <v>85732</v>
      </c>
      <c r="BF974" s="89">
        <f>SUM(BF964:BF973)</f>
        <v>86761</v>
      </c>
      <c r="BG974" s="89">
        <f>SUM(BG964:BG973)</f>
        <v>89795</v>
      </c>
      <c r="BH974" s="742">
        <f>SUM(BH964:BH973)</f>
        <v>92905</v>
      </c>
      <c r="BI974" s="90">
        <f t="shared" si="2631"/>
        <v>92137.360165000006</v>
      </c>
      <c r="BJ974" s="997">
        <f t="shared" si="2630"/>
        <v>92137.360165000006</v>
      </c>
      <c r="BK974" s="90">
        <f t="shared" si="2632" ref="BK974:BR974">SUM(BK964:BK973)</f>
        <v>92805.869437999994</v>
      </c>
      <c r="BL974" s="90">
        <f t="shared" si="2632"/>
        <v>93578.822239999994</v>
      </c>
      <c r="BM974" s="90">
        <f t="shared" si="2632"/>
        <v>94353.050187999994</v>
      </c>
      <c r="BN974" s="90">
        <f t="shared" si="2632"/>
        <v>93533.412011000008</v>
      </c>
      <c r="BO974" s="997">
        <f t="shared" si="2632"/>
        <v>93533.412011000008</v>
      </c>
      <c r="BP974" s="997">
        <f t="shared" si="2632"/>
        <v>96228.577778899999</v>
      </c>
      <c r="BQ974" s="997">
        <f t="shared" si="2632"/>
        <v>99183.786781576986</v>
      </c>
      <c r="BR974" s="997">
        <f t="shared" si="2632"/>
        <v>102227.0360045243</v>
      </c>
      <c r="BS974" s="57"/>
    </row>
    <row r="975" spans="1:71" s="51" customFormat="1" ht="15">
      <c r="A975" s="480"/>
      <c r="B975" s="483"/>
      <c r="C975" s="1000"/>
      <c r="D975" s="1000"/>
      <c r="E975" s="1000"/>
      <c r="F975" s="1000"/>
      <c r="G975" s="1000"/>
      <c r="H975" s="128"/>
      <c r="I975" s="128"/>
      <c r="J975" s="128"/>
      <c r="K975" s="128"/>
      <c r="L975" s="1000"/>
      <c r="M975" s="128"/>
      <c r="N975" s="128"/>
      <c r="O975" s="128"/>
      <c r="P975" s="128"/>
      <c r="Q975" s="1000"/>
      <c r="R975" s="128"/>
      <c r="S975" s="128"/>
      <c r="T975" s="128"/>
      <c r="U975" s="128"/>
      <c r="V975" s="1000"/>
      <c r="W975" s="128"/>
      <c r="X975" s="128"/>
      <c r="Y975" s="128"/>
      <c r="Z975" s="128"/>
      <c r="AA975" s="1000"/>
      <c r="AB975" s="128"/>
      <c r="AC975" s="128"/>
      <c r="AD975" s="128"/>
      <c r="AE975" s="128"/>
      <c r="AF975" s="1000"/>
      <c r="AG975" s="128"/>
      <c r="AH975" s="128"/>
      <c r="AI975" s="128"/>
      <c r="AJ975" s="128"/>
      <c r="AK975" s="1000"/>
      <c r="AL975" s="128"/>
      <c r="AM975" s="128"/>
      <c r="AN975" s="128"/>
      <c r="AO975" s="128"/>
      <c r="AP975" s="1000"/>
      <c r="AQ975" s="128"/>
      <c r="AR975" s="128"/>
      <c r="AS975" s="128"/>
      <c r="AT975" s="128"/>
      <c r="AU975" s="1000"/>
      <c r="AV975" s="128"/>
      <c r="AW975" s="128"/>
      <c r="AX975" s="128"/>
      <c r="AY975" s="128"/>
      <c r="AZ975" s="1000"/>
      <c r="BA975" s="128"/>
      <c r="BB975" s="128"/>
      <c r="BC975" s="128"/>
      <c r="BD975" s="128"/>
      <c r="BE975" s="1000"/>
      <c r="BF975" s="128"/>
      <c r="BG975" s="128"/>
      <c r="BH975" s="465"/>
      <c r="BI975" s="128"/>
      <c r="BJ975" s="1000"/>
      <c r="BK975" s="128"/>
      <c r="BL975" s="128"/>
      <c r="BM975" s="128"/>
      <c r="BN975" s="128"/>
      <c r="BO975" s="1000"/>
      <c r="BP975" s="1000"/>
      <c r="BQ975" s="1000"/>
      <c r="BR975" s="1000"/>
      <c r="BS975" s="57"/>
    </row>
    <row r="976" spans="1:71" s="51" customFormat="1" ht="15">
      <c r="A976" s="102" t="s">
        <v>193</v>
      </c>
      <c r="B976" s="483"/>
      <c r="C976" s="1000"/>
      <c r="D976" s="1000"/>
      <c r="E976" s="1000"/>
      <c r="F976" s="1000"/>
      <c r="G976" s="1000"/>
      <c r="H976" s="128"/>
      <c r="I976" s="128"/>
      <c r="J976" s="128"/>
      <c r="K976" s="128"/>
      <c r="L976" s="1000"/>
      <c r="M976" s="128"/>
      <c r="N976" s="128"/>
      <c r="O976" s="128"/>
      <c r="P976" s="128"/>
      <c r="Q976" s="1000"/>
      <c r="R976" s="128"/>
      <c r="S976" s="128"/>
      <c r="T976" s="128"/>
      <c r="U976" s="128"/>
      <c r="V976" s="1000"/>
      <c r="W976" s="128"/>
      <c r="X976" s="128"/>
      <c r="Y976" s="128"/>
      <c r="Z976" s="128"/>
      <c r="AA976" s="1000"/>
      <c r="AB976" s="128"/>
      <c r="AC976" s="128"/>
      <c r="AD976" s="128"/>
      <c r="AE976" s="128"/>
      <c r="AF976" s="1000"/>
      <c r="AG976" s="128"/>
      <c r="AH976" s="128"/>
      <c r="AI976" s="128"/>
      <c r="AJ976" s="128"/>
      <c r="AK976" s="1000"/>
      <c r="AL976" s="128"/>
      <c r="AM976" s="128"/>
      <c r="AN976" s="128"/>
      <c r="AO976" s="128"/>
      <c r="AP976" s="1000"/>
      <c r="AQ976" s="128"/>
      <c r="AR976" s="128"/>
      <c r="AS976" s="128"/>
      <c r="AT976" s="128"/>
      <c r="AU976" s="1000"/>
      <c r="AV976" s="128"/>
      <c r="AW976" s="128"/>
      <c r="AX976" s="128"/>
      <c r="AY976" s="128"/>
      <c r="AZ976" s="1000"/>
      <c r="BA976" s="128"/>
      <c r="BB976" s="128"/>
      <c r="BC976" s="128"/>
      <c r="BD976" s="128"/>
      <c r="BE976" s="1000"/>
      <c r="BF976" s="128"/>
      <c r="BG976" s="128"/>
      <c r="BH976" s="465"/>
      <c r="BI976" s="128"/>
      <c r="BJ976" s="1000"/>
      <c r="BK976" s="128"/>
      <c r="BL976" s="128"/>
      <c r="BM976" s="128"/>
      <c r="BN976" s="128"/>
      <c r="BO976" s="1000"/>
      <c r="BP976" s="1000"/>
      <c r="BQ976" s="1000"/>
      <c r="BR976" s="1000"/>
      <c r="BS976" s="57"/>
    </row>
    <row r="977" spans="1:71" s="300" customFormat="1" ht="15">
      <c r="A977" s="304" t="s">
        <v>194</v>
      </c>
      <c r="B977" s="166"/>
      <c r="C977" s="988">
        <v>0</v>
      </c>
      <c r="D977" s="989"/>
      <c r="E977" s="989"/>
      <c r="F977" s="989"/>
      <c r="G977" s="988">
        <v>780</v>
      </c>
      <c r="H977" s="897">
        <v>1505</v>
      </c>
      <c r="I977" s="897">
        <v>1746</v>
      </c>
      <c r="J977" s="897">
        <v>1746</v>
      </c>
      <c r="K977" s="305">
        <f t="shared" si="2633" ref="K977:K983">L977</f>
        <v>1746</v>
      </c>
      <c r="L977" s="988">
        <v>1746</v>
      </c>
      <c r="M977" s="897">
        <v>1746</v>
      </c>
      <c r="N977" s="897">
        <v>1746</v>
      </c>
      <c r="O977" s="897">
        <v>1746</v>
      </c>
      <c r="P977" s="305">
        <f t="shared" si="2634" ref="P977:P983">Q977</f>
        <v>1746</v>
      </c>
      <c r="Q977" s="988">
        <v>1746</v>
      </c>
      <c r="R977" s="897">
        <v>1746</v>
      </c>
      <c r="S977" s="897">
        <v>1746</v>
      </c>
      <c r="T977" s="897">
        <v>1746</v>
      </c>
      <c r="U977" s="305">
        <f t="shared" si="2635" ref="U977:U983">V977</f>
        <v>1746</v>
      </c>
      <c r="V977" s="988">
        <v>1746</v>
      </c>
      <c r="W977" s="897">
        <v>1746</v>
      </c>
      <c r="X977" s="897">
        <v>1746</v>
      </c>
      <c r="Y977" s="897">
        <v>1746</v>
      </c>
      <c r="Z977" s="305">
        <f t="shared" si="2636" ref="Z977:Z983">AA977</f>
        <v>1746</v>
      </c>
      <c r="AA977" s="988">
        <v>1746</v>
      </c>
      <c r="AB977" s="897">
        <v>2303</v>
      </c>
      <c r="AC977" s="897">
        <v>2303</v>
      </c>
      <c r="AD977" s="897">
        <v>2303</v>
      </c>
      <c r="AE977" s="305">
        <f t="shared" si="2637" ref="AE977:AE983">AF977</f>
        <v>1930</v>
      </c>
      <c r="AF977" s="988">
        <v>1930</v>
      </c>
      <c r="AG977" s="897">
        <v>1930</v>
      </c>
      <c r="AH977" s="897">
        <v>1930</v>
      </c>
      <c r="AI977" s="897">
        <v>3052</v>
      </c>
      <c r="AJ977" s="305">
        <f t="shared" si="2638" ref="AJ977:AJ983">AK977</f>
        <v>2248</v>
      </c>
      <c r="AK977" s="988">
        <v>2248</v>
      </c>
      <c r="AL977" s="897">
        <v>1970</v>
      </c>
      <c r="AM977" s="897">
        <v>1970</v>
      </c>
      <c r="AN977" s="897">
        <v>1970</v>
      </c>
      <c r="AO977" s="305">
        <f t="shared" si="2639" ref="AO977:AO983">AP977</f>
        <v>1970</v>
      </c>
      <c r="AP977" s="988">
        <v>1970</v>
      </c>
      <c r="AQ977" s="897">
        <v>2170</v>
      </c>
      <c r="AR977" s="897">
        <v>2170</v>
      </c>
      <c r="AS977" s="897">
        <v>1970</v>
      </c>
      <c r="AT977" s="305">
        <f t="shared" si="2640" ref="AT977:AT983">AU977</f>
        <v>1970</v>
      </c>
      <c r="AU977" s="988">
        <v>1970</v>
      </c>
      <c r="AV977" s="897">
        <v>1970</v>
      </c>
      <c r="AW977" s="897">
        <v>1970</v>
      </c>
      <c r="AX977" s="897">
        <v>1970</v>
      </c>
      <c r="AY977" s="305">
        <f t="shared" si="2641" ref="AY977:AY983">AZ977</f>
        <v>1970</v>
      </c>
      <c r="AZ977" s="988">
        <v>1970</v>
      </c>
      <c r="BA977" s="897">
        <v>1970</v>
      </c>
      <c r="BB977" s="897">
        <v>2001</v>
      </c>
      <c r="BC977" s="897">
        <v>2001</v>
      </c>
      <c r="BD977" s="305">
        <f t="shared" si="2642" ref="BD977:BD983">BE977</f>
        <v>2001</v>
      </c>
      <c r="BE977" s="988">
        <v>2001</v>
      </c>
      <c r="BF977" s="897">
        <v>2001</v>
      </c>
      <c r="BG977" s="897">
        <v>2001</v>
      </c>
      <c r="BH977" s="898">
        <v>2001</v>
      </c>
      <c r="BI977" s="92">
        <f t="shared" si="2643" ref="BI977:BR977">BH977</f>
        <v>2001</v>
      </c>
      <c r="BJ977" s="989">
        <f t="shared" si="2643"/>
        <v>2001</v>
      </c>
      <c r="BK977" s="92">
        <f t="shared" si="2643"/>
        <v>2001</v>
      </c>
      <c r="BL977" s="92">
        <f t="shared" si="2643"/>
        <v>2001</v>
      </c>
      <c r="BM977" s="92">
        <f t="shared" si="2643"/>
        <v>2001</v>
      </c>
      <c r="BN977" s="92">
        <f t="shared" si="2643"/>
        <v>2001</v>
      </c>
      <c r="BO977" s="989">
        <f t="shared" si="2643"/>
        <v>2001</v>
      </c>
      <c r="BP977" s="989">
        <f t="shared" si="2643"/>
        <v>2001</v>
      </c>
      <c r="BQ977" s="989">
        <f t="shared" si="2643"/>
        <v>2001</v>
      </c>
      <c r="BR977" s="989">
        <f t="shared" si="2643"/>
        <v>2001</v>
      </c>
      <c r="BS977" s="305"/>
    </row>
    <row r="978" spans="1:71" s="300" customFormat="1" ht="15">
      <c r="A978" s="304" t="s">
        <v>195</v>
      </c>
      <c r="B978" s="166"/>
      <c r="C978" s="988">
        <v>9</v>
      </c>
      <c r="D978" s="988">
        <v>9</v>
      </c>
      <c r="E978" s="988">
        <v>9</v>
      </c>
      <c r="F978" s="988">
        <v>9</v>
      </c>
      <c r="G978" s="988">
        <v>9</v>
      </c>
      <c r="H978" s="897">
        <v>9</v>
      </c>
      <c r="I978" s="897">
        <v>9</v>
      </c>
      <c r="J978" s="897">
        <v>9</v>
      </c>
      <c r="K978" s="305">
        <f t="shared" si="2633"/>
        <v>9</v>
      </c>
      <c r="L978" s="988">
        <v>9</v>
      </c>
      <c r="M978" s="897">
        <v>9</v>
      </c>
      <c r="N978" s="897">
        <v>9</v>
      </c>
      <c r="O978" s="897">
        <v>9</v>
      </c>
      <c r="P978" s="305">
        <f t="shared" si="2634"/>
        <v>9</v>
      </c>
      <c r="Q978" s="988">
        <v>9</v>
      </c>
      <c r="R978" s="897">
        <v>9</v>
      </c>
      <c r="S978" s="897">
        <v>9</v>
      </c>
      <c r="T978" s="897">
        <v>9</v>
      </c>
      <c r="U978" s="305">
        <f t="shared" si="2635"/>
        <v>9</v>
      </c>
      <c r="V978" s="988">
        <v>9</v>
      </c>
      <c r="W978" s="897">
        <v>9</v>
      </c>
      <c r="X978" s="897">
        <v>9</v>
      </c>
      <c r="Y978" s="897">
        <v>9</v>
      </c>
      <c r="Z978" s="305">
        <f t="shared" si="2636"/>
        <v>9</v>
      </c>
      <c r="AA978" s="988">
        <v>9</v>
      </c>
      <c r="AB978" s="897">
        <v>9</v>
      </c>
      <c r="AC978" s="897">
        <v>9</v>
      </c>
      <c r="AD978" s="897">
        <v>9</v>
      </c>
      <c r="AE978" s="305">
        <f t="shared" si="2637"/>
        <v>9</v>
      </c>
      <c r="AF978" s="988">
        <v>9</v>
      </c>
      <c r="AG978" s="897">
        <v>9</v>
      </c>
      <c r="AH978" s="897">
        <v>9</v>
      </c>
      <c r="AI978" s="897">
        <v>9</v>
      </c>
      <c r="AJ978" s="305">
        <f t="shared" si="2638"/>
        <v>9</v>
      </c>
      <c r="AK978" s="988">
        <v>9</v>
      </c>
      <c r="AL978" s="897">
        <v>9</v>
      </c>
      <c r="AM978" s="897">
        <v>9</v>
      </c>
      <c r="AN978" s="897">
        <v>9</v>
      </c>
      <c r="AO978" s="305">
        <f t="shared" si="2639"/>
        <v>9</v>
      </c>
      <c r="AP978" s="988">
        <v>9</v>
      </c>
      <c r="AQ978" s="897">
        <v>9</v>
      </c>
      <c r="AR978" s="897">
        <v>9</v>
      </c>
      <c r="AS978" s="897">
        <v>9</v>
      </c>
      <c r="AT978" s="305">
        <f t="shared" si="2640"/>
        <v>9</v>
      </c>
      <c r="AU978" s="988">
        <v>9</v>
      </c>
      <c r="AV978" s="897">
        <v>9</v>
      </c>
      <c r="AW978" s="897">
        <v>9</v>
      </c>
      <c r="AX978" s="897">
        <v>9</v>
      </c>
      <c r="AY978" s="305">
        <f t="shared" si="2641"/>
        <v>9</v>
      </c>
      <c r="AZ978" s="988">
        <v>9</v>
      </c>
      <c r="BA978" s="897">
        <v>9</v>
      </c>
      <c r="BB978" s="897">
        <v>9</v>
      </c>
      <c r="BC978" s="897">
        <v>9</v>
      </c>
      <c r="BD978" s="305">
        <f t="shared" si="2642"/>
        <v>9</v>
      </c>
      <c r="BE978" s="988">
        <v>9</v>
      </c>
      <c r="BF978" s="897">
        <v>9</v>
      </c>
      <c r="BG978" s="897">
        <v>9</v>
      </c>
      <c r="BH978" s="898">
        <v>9</v>
      </c>
      <c r="BI978" s="92">
        <f t="shared" si="2644" ref="BI978:BR978">BH978</f>
        <v>9</v>
      </c>
      <c r="BJ978" s="989">
        <f t="shared" si="2644"/>
        <v>9</v>
      </c>
      <c r="BK978" s="92">
        <f t="shared" si="2644"/>
        <v>9</v>
      </c>
      <c r="BL978" s="92">
        <f t="shared" si="2644"/>
        <v>9</v>
      </c>
      <c r="BM978" s="92">
        <f t="shared" si="2644"/>
        <v>9</v>
      </c>
      <c r="BN978" s="92">
        <f t="shared" si="2644"/>
        <v>9</v>
      </c>
      <c r="BO978" s="989">
        <f t="shared" si="2644"/>
        <v>9</v>
      </c>
      <c r="BP978" s="989">
        <f t="shared" si="2644"/>
        <v>9</v>
      </c>
      <c r="BQ978" s="989">
        <f t="shared" si="2644"/>
        <v>9</v>
      </c>
      <c r="BR978" s="989">
        <f t="shared" si="2644"/>
        <v>9</v>
      </c>
      <c r="BS978" s="305"/>
    </row>
    <row r="979" spans="1:71" s="300" customFormat="1" ht="15">
      <c r="A979" s="304" t="s">
        <v>196</v>
      </c>
      <c r="B979" s="166"/>
      <c r="C979" s="988">
        <v>3172</v>
      </c>
      <c r="D979" s="988">
        <v>3176</v>
      </c>
      <c r="E979" s="988">
        <v>3189</v>
      </c>
      <c r="F979" s="988">
        <v>3162</v>
      </c>
      <c r="G979" s="988">
        <v>3143</v>
      </c>
      <c r="H979" s="897">
        <v>3017</v>
      </c>
      <c r="I979" s="897">
        <v>3035</v>
      </c>
      <c r="J979" s="897">
        <v>3059</v>
      </c>
      <c r="K979" s="305">
        <f t="shared" si="2633"/>
        <v>3199</v>
      </c>
      <c r="L979" s="988">
        <v>3199</v>
      </c>
      <c r="M979" s="897">
        <v>3109</v>
      </c>
      <c r="N979" s="897">
        <v>3205</v>
      </c>
      <c r="O979" s="897">
        <v>3224</v>
      </c>
      <c r="P979" s="305">
        <f t="shared" si="2634"/>
        <v>3245</v>
      </c>
      <c r="Q979" s="988">
        <v>3245</v>
      </c>
      <c r="R979" s="897">
        <v>3237</v>
      </c>
      <c r="S979" s="897">
        <v>3203</v>
      </c>
      <c r="T979" s="897">
        <v>3237</v>
      </c>
      <c r="U979" s="305">
        <f t="shared" si="2635"/>
        <v>3303</v>
      </c>
      <c r="V979" s="988">
        <v>3303</v>
      </c>
      <c r="W979" s="897">
        <v>3285</v>
      </c>
      <c r="X979" s="897">
        <v>3269</v>
      </c>
      <c r="Y979" s="897">
        <v>3330</v>
      </c>
      <c r="Z979" s="305">
        <f t="shared" si="2636"/>
        <v>3313</v>
      </c>
      <c r="AA979" s="988">
        <v>3313</v>
      </c>
      <c r="AB979" s="897">
        <v>3367</v>
      </c>
      <c r="AC979" s="897">
        <v>3391</v>
      </c>
      <c r="AD979" s="897">
        <v>3441</v>
      </c>
      <c r="AE979" s="305">
        <f t="shared" si="2637"/>
        <v>3310</v>
      </c>
      <c r="AF979" s="988">
        <v>3310</v>
      </c>
      <c r="AG979" s="897">
        <v>3291</v>
      </c>
      <c r="AH979" s="897">
        <v>3477</v>
      </c>
      <c r="AI979" s="897">
        <v>3511</v>
      </c>
      <c r="AJ979" s="305">
        <f t="shared" si="2638"/>
        <v>3463</v>
      </c>
      <c r="AK979" s="988">
        <v>3463</v>
      </c>
      <c r="AL979" s="897">
        <v>3519</v>
      </c>
      <c r="AM979" s="897">
        <v>3541</v>
      </c>
      <c r="AN979" s="897">
        <v>3453</v>
      </c>
      <c r="AO979" s="305">
        <f t="shared" si="2639"/>
        <v>3498</v>
      </c>
      <c r="AP979" s="988">
        <v>3498</v>
      </c>
      <c r="AQ979" s="897">
        <v>3596</v>
      </c>
      <c r="AR979" s="897">
        <v>3668</v>
      </c>
      <c r="AS979" s="897">
        <v>3700</v>
      </c>
      <c r="AT979" s="305">
        <f t="shared" si="2640"/>
        <v>3722</v>
      </c>
      <c r="AU979" s="988">
        <v>3722</v>
      </c>
      <c r="AV979" s="897">
        <v>3706</v>
      </c>
      <c r="AW979" s="897">
        <v>3740</v>
      </c>
      <c r="AX979" s="897">
        <v>3765</v>
      </c>
      <c r="AY979" s="305">
        <f t="shared" si="2641"/>
        <v>3788</v>
      </c>
      <c r="AZ979" s="988">
        <v>3788</v>
      </c>
      <c r="BA979" s="897">
        <v>3780</v>
      </c>
      <c r="BB979" s="897">
        <v>3786</v>
      </c>
      <c r="BC979" s="897">
        <v>3811</v>
      </c>
      <c r="BD979" s="305">
        <f t="shared" si="2642"/>
        <v>3854</v>
      </c>
      <c r="BE979" s="988">
        <v>3854</v>
      </c>
      <c r="BF979" s="897">
        <v>3894</v>
      </c>
      <c r="BG979" s="897">
        <v>3927</v>
      </c>
      <c r="BH979" s="898">
        <v>3987</v>
      </c>
      <c r="BI979" s="92">
        <f t="shared" si="2645" ref="BI979:BR979">BH979</f>
        <v>3987</v>
      </c>
      <c r="BJ979" s="989">
        <f t="shared" si="2645"/>
        <v>3987</v>
      </c>
      <c r="BK979" s="92">
        <f t="shared" si="2645"/>
        <v>3987</v>
      </c>
      <c r="BL979" s="92">
        <f t="shared" si="2645"/>
        <v>3987</v>
      </c>
      <c r="BM979" s="92">
        <f t="shared" si="2645"/>
        <v>3987</v>
      </c>
      <c r="BN979" s="92">
        <f t="shared" si="2645"/>
        <v>3987</v>
      </c>
      <c r="BO979" s="989">
        <f t="shared" si="2645"/>
        <v>3987</v>
      </c>
      <c r="BP979" s="989">
        <f t="shared" si="2645"/>
        <v>3987</v>
      </c>
      <c r="BQ979" s="989">
        <f t="shared" si="2645"/>
        <v>3987</v>
      </c>
      <c r="BR979" s="989">
        <f t="shared" si="2645"/>
        <v>3987</v>
      </c>
      <c r="BS979" s="305"/>
    </row>
    <row r="980" spans="1:71" s="300" customFormat="1" ht="15">
      <c r="A980" s="304" t="s">
        <v>197</v>
      </c>
      <c r="B980" s="166"/>
      <c r="C980" s="988">
        <v>31492</v>
      </c>
      <c r="D980" s="988">
        <v>31558</v>
      </c>
      <c r="E980" s="988">
        <v>31909</v>
      </c>
      <c r="F980" s="988">
        <v>33783</v>
      </c>
      <c r="G980" s="988">
        <v>35580</v>
      </c>
      <c r="H980" s="897">
        <v>36041</v>
      </c>
      <c r="I980" s="897">
        <v>36532</v>
      </c>
      <c r="J980" s="897">
        <v>37164</v>
      </c>
      <c r="K980" s="305">
        <f t="shared" si="2633"/>
        <v>37842</v>
      </c>
      <c r="L980" s="988">
        <v>37842</v>
      </c>
      <c r="M980" s="897">
        <v>38363</v>
      </c>
      <c r="N980" s="897">
        <v>38567</v>
      </c>
      <c r="O980" s="897">
        <v>39068</v>
      </c>
      <c r="P980" s="305">
        <f t="shared" si="2634"/>
        <v>39413</v>
      </c>
      <c r="Q980" s="988">
        <v>39413</v>
      </c>
      <c r="R980" s="897">
        <v>39505</v>
      </c>
      <c r="S980" s="897">
        <v>39623</v>
      </c>
      <c r="T980" s="897">
        <v>39990</v>
      </c>
      <c r="U980" s="305">
        <f t="shared" si="2635"/>
        <v>40678</v>
      </c>
      <c r="V980" s="988">
        <v>40678</v>
      </c>
      <c r="W980" s="897">
        <v>41208</v>
      </c>
      <c r="X980" s="897">
        <v>41622</v>
      </c>
      <c r="Y980" s="897">
        <v>42125</v>
      </c>
      <c r="Z980" s="305">
        <f t="shared" si="2636"/>
        <v>43162</v>
      </c>
      <c r="AA980" s="988">
        <v>43162</v>
      </c>
      <c r="AB980" s="897">
        <v>45031</v>
      </c>
      <c r="AC980" s="897">
        <v>45508</v>
      </c>
      <c r="AD980" s="897">
        <v>46178</v>
      </c>
      <c r="AE980" s="305">
        <f t="shared" si="2637"/>
        <v>45708</v>
      </c>
      <c r="AF980" s="988">
        <v>45708</v>
      </c>
      <c r="AG980" s="897">
        <v>45148</v>
      </c>
      <c r="AH980" s="897">
        <v>45803</v>
      </c>
      <c r="AI980" s="897">
        <v>46527</v>
      </c>
      <c r="AJ980" s="305">
        <f t="shared" si="2638"/>
        <v>48074</v>
      </c>
      <c r="AK980" s="988">
        <v>48074</v>
      </c>
      <c r="AL980" s="897">
        <v>48326</v>
      </c>
      <c r="AM980" s="897">
        <v>49380</v>
      </c>
      <c r="AN980" s="897">
        <v>50336</v>
      </c>
      <c r="AO980" s="305">
        <f t="shared" si="2639"/>
        <v>52767</v>
      </c>
      <c r="AP980" s="988">
        <v>52767</v>
      </c>
      <c r="AQ980" s="897">
        <v>51107</v>
      </c>
      <c r="AR980" s="897">
        <v>52464</v>
      </c>
      <c r="AS980" s="897">
        <v>52736</v>
      </c>
      <c r="AT980" s="305">
        <f t="shared" si="2640"/>
        <v>53294</v>
      </c>
      <c r="AU980" s="988">
        <v>53294</v>
      </c>
      <c r="AV980" s="897">
        <v>53688</v>
      </c>
      <c r="AW980" s="897">
        <v>52412</v>
      </c>
      <c r="AX980" s="897">
        <v>51490</v>
      </c>
      <c r="AY980" s="305">
        <f t="shared" si="2641"/>
        <v>50954</v>
      </c>
      <c r="AZ980" s="988">
        <v>50954</v>
      </c>
      <c r="BA980" s="897">
        <v>50388</v>
      </c>
      <c r="BB980" s="897">
        <v>48766</v>
      </c>
      <c r="BC980" s="897">
        <v>48491</v>
      </c>
      <c r="BD980" s="305">
        <f t="shared" si="2642"/>
        <v>49716</v>
      </c>
      <c r="BE980" s="988">
        <v>49716</v>
      </c>
      <c r="BF980" s="897">
        <v>50662</v>
      </c>
      <c r="BG980" s="897">
        <v>50718</v>
      </c>
      <c r="BH980" s="898">
        <v>51635</v>
      </c>
      <c r="BI980" s="92">
        <f ca="1">BH980+BI920+BI921+BI869</f>
        <v>52726.242416004097</v>
      </c>
      <c r="BJ980" s="989">
        <f ca="1">BI980</f>
        <v>52726.242416004097</v>
      </c>
      <c r="BK980" s="92">
        <f ca="1">BJ980+BK920+BK921+BK869</f>
        <v>53937.286082130122</v>
      </c>
      <c r="BL980" s="92">
        <f ca="1">BK980+BL920+BL921+BL869</f>
        <v>54558.411046250672</v>
      </c>
      <c r="BM980" s="92">
        <f ca="1">BL980+BM920+BM921+BM869</f>
        <v>55530.965469757524</v>
      </c>
      <c r="BN980" s="92">
        <f ca="1">BM980+BN920+BN921+BN869</f>
        <v>56963.207663861962</v>
      </c>
      <c r="BO980" s="989">
        <f ca="1">BN980</f>
        <v>56963.207663861962</v>
      </c>
      <c r="BP980" s="989">
        <f ca="1">BO980+BP920+BP921+BP869</f>
        <v>61567.999389524324</v>
      </c>
      <c r="BQ980" s="989">
        <f ca="1">BP980+BQ920+BQ921+BQ869</f>
        <v>66307.98796772967</v>
      </c>
      <c r="BR980" s="989">
        <f ca="1">BQ980+BR920+BR921+BR869</f>
        <v>71203.796852767453</v>
      </c>
      <c r="BS980" s="305"/>
    </row>
    <row r="981" spans="1:71" s="300" customFormat="1" ht="15">
      <c r="A981" s="304" t="s">
        <v>198</v>
      </c>
      <c r="B981" s="166"/>
      <c r="C981" s="988">
        <v>-47</v>
      </c>
      <c r="D981" s="988">
        <v>-44</v>
      </c>
      <c r="E981" s="988">
        <v>-43</v>
      </c>
      <c r="F981" s="988">
        <v>-41</v>
      </c>
      <c r="G981" s="988">
        <v>-31</v>
      </c>
      <c r="H981" s="897">
        <v>-31</v>
      </c>
      <c r="I981" s="897">
        <v>-31</v>
      </c>
      <c r="J981" s="897">
        <v>-31</v>
      </c>
      <c r="K981" s="305">
        <f t="shared" si="2633"/>
        <v>-23</v>
      </c>
      <c r="L981" s="988">
        <v>-23</v>
      </c>
      <c r="M981" s="897">
        <v>-23</v>
      </c>
      <c r="N981" s="897">
        <v>-23</v>
      </c>
      <c r="O981" s="897">
        <v>-23</v>
      </c>
      <c r="P981" s="305">
        <f t="shared" si="2634"/>
        <v>-13</v>
      </c>
      <c r="Q981" s="988">
        <v>-13</v>
      </c>
      <c r="R981" s="897">
        <v>-13</v>
      </c>
      <c r="S981" s="897">
        <v>-13</v>
      </c>
      <c r="T981" s="897">
        <v>-13</v>
      </c>
      <c r="U981" s="305">
        <f t="shared" si="2635"/>
        <v>-6</v>
      </c>
      <c r="V981" s="988">
        <v>-6</v>
      </c>
      <c r="W981" s="897">
        <v>-6</v>
      </c>
      <c r="X981" s="897">
        <v>-6</v>
      </c>
      <c r="Y981" s="897">
        <v>-6</v>
      </c>
      <c r="Z981" s="305">
        <f t="shared" si="2636"/>
        <v>-3</v>
      </c>
      <c r="AA981" s="988">
        <v>-3</v>
      </c>
      <c r="AB981" s="897">
        <v>-3</v>
      </c>
      <c r="AC981" s="897">
        <v>-3</v>
      </c>
      <c r="AD981" s="897">
        <v>-3</v>
      </c>
      <c r="AE981" s="305">
        <f t="shared" si="2637"/>
        <v>-3</v>
      </c>
      <c r="AF981" s="988">
        <v>-3</v>
      </c>
      <c r="AG981" s="897">
        <v>-3</v>
      </c>
      <c r="AH981" s="897">
        <v>-3</v>
      </c>
      <c r="AI981" s="897">
        <v>-3</v>
      </c>
      <c r="AJ981" s="305">
        <f t="shared" si="2638"/>
        <v>0</v>
      </c>
      <c r="AK981" s="988">
        <v>0</v>
      </c>
      <c r="AL981" s="92"/>
      <c r="AM981" s="92"/>
      <c r="AN981" s="92"/>
      <c r="AO981" s="305">
        <f t="shared" si="2639"/>
        <v>0</v>
      </c>
      <c r="AP981" s="989"/>
      <c r="AQ981" s="92"/>
      <c r="AR981" s="92"/>
      <c r="AS981" s="92"/>
      <c r="AT981" s="305">
        <f t="shared" si="2640"/>
        <v>0</v>
      </c>
      <c r="AU981" s="989"/>
      <c r="AV981" s="92"/>
      <c r="AW981" s="92"/>
      <c r="AX981" s="92"/>
      <c r="AY981" s="305">
        <f t="shared" si="2641"/>
        <v>0</v>
      </c>
      <c r="AZ981" s="989"/>
      <c r="BA981" s="92"/>
      <c r="BB981" s="92"/>
      <c r="BC981" s="92"/>
      <c r="BD981" s="305">
        <f t="shared" si="2642"/>
        <v>0</v>
      </c>
      <c r="BE981" s="989"/>
      <c r="BF981" s="92"/>
      <c r="BG981" s="92"/>
      <c r="BH981" s="464"/>
      <c r="BI981" s="92">
        <f>BH981</f>
        <v>0</v>
      </c>
      <c r="BJ981" s="989">
        <f>BI981</f>
        <v>0</v>
      </c>
      <c r="BK981" s="92">
        <f>BJ981</f>
        <v>0</v>
      </c>
      <c r="BL981" s="92">
        <f>BK981</f>
        <v>0</v>
      </c>
      <c r="BM981" s="92">
        <f>BL981</f>
        <v>0</v>
      </c>
      <c r="BN981" s="92">
        <f>BM981</f>
        <v>0</v>
      </c>
      <c r="BO981" s="989">
        <f>BN981</f>
        <v>0</v>
      </c>
      <c r="BP981" s="989">
        <f>BO981</f>
        <v>0</v>
      </c>
      <c r="BQ981" s="989">
        <f>BP981</f>
        <v>0</v>
      </c>
      <c r="BR981" s="989">
        <f>BQ981</f>
        <v>0</v>
      </c>
      <c r="BS981" s="305"/>
    </row>
    <row r="982" spans="1:71" s="300" customFormat="1" ht="15">
      <c r="A982" s="304" t="s">
        <v>199</v>
      </c>
      <c r="B982" s="166"/>
      <c r="C982" s="988">
        <v>-15828</v>
      </c>
      <c r="D982" s="988">
        <v>-15910</v>
      </c>
      <c r="E982" s="988">
        <v>-16795</v>
      </c>
      <c r="F982" s="988">
        <v>-17508</v>
      </c>
      <c r="G982" s="988">
        <v>-19047</v>
      </c>
      <c r="H982" s="897">
        <v>-19922</v>
      </c>
      <c r="I982" s="897">
        <v>-19985</v>
      </c>
      <c r="J982" s="897">
        <v>-20856</v>
      </c>
      <c r="K982" s="305">
        <f t="shared" si="2633"/>
        <v>-21030</v>
      </c>
      <c r="L982" s="988">
        <v>-21030</v>
      </c>
      <c r="M982" s="897">
        <v>-21799</v>
      </c>
      <c r="N982" s="897">
        <v>-22273</v>
      </c>
      <c r="O982" s="897">
        <v>-23058</v>
      </c>
      <c r="P982" s="305">
        <f t="shared" si="2634"/>
        <v>-23620</v>
      </c>
      <c r="Q982" s="988">
        <v>-23620</v>
      </c>
      <c r="R982" s="897">
        <v>-23994</v>
      </c>
      <c r="S982" s="897">
        <v>-24310</v>
      </c>
      <c r="T982" s="897">
        <v>-24537</v>
      </c>
      <c r="U982" s="305">
        <f t="shared" si="2635"/>
        <v>-24741</v>
      </c>
      <c r="V982" s="988">
        <v>-24741</v>
      </c>
      <c r="W982" s="897">
        <v>-24887</v>
      </c>
      <c r="X982" s="897">
        <v>-25241</v>
      </c>
      <c r="Y982" s="897">
        <v>-25413</v>
      </c>
      <c r="Z982" s="305">
        <f t="shared" si="2636"/>
        <v>-25982</v>
      </c>
      <c r="AA982" s="988">
        <v>-25982</v>
      </c>
      <c r="AB982" s="897">
        <v>-26280</v>
      </c>
      <c r="AC982" s="897">
        <v>-26818</v>
      </c>
      <c r="AD982" s="897">
        <v>-27011</v>
      </c>
      <c r="AE982" s="305">
        <f t="shared" si="2637"/>
        <v>-28085</v>
      </c>
      <c r="AF982" s="988">
        <v>-28085</v>
      </c>
      <c r="AG982" s="897">
        <v>-28042</v>
      </c>
      <c r="AH982" s="897">
        <v>-28500</v>
      </c>
      <c r="AI982" s="897">
        <v>-29063</v>
      </c>
      <c r="AJ982" s="305">
        <f t="shared" si="2638"/>
        <v>-29746</v>
      </c>
      <c r="AK982" s="988">
        <v>-29746</v>
      </c>
      <c r="AL982" s="897">
        <v>-30209</v>
      </c>
      <c r="AM982" s="897">
        <v>-30542</v>
      </c>
      <c r="AN982" s="897">
        <v>-31338</v>
      </c>
      <c r="AO982" s="305">
        <f t="shared" si="2639"/>
        <v>-31331</v>
      </c>
      <c r="AP982" s="988">
        <v>-31331</v>
      </c>
      <c r="AQ982" s="897">
        <v>-31886</v>
      </c>
      <c r="AR982" s="897">
        <v>-32394</v>
      </c>
      <c r="AS982" s="897">
        <v>-33604</v>
      </c>
      <c r="AT982" s="305">
        <f t="shared" si="2640"/>
        <v>-34471</v>
      </c>
      <c r="AU982" s="988">
        <v>-34471</v>
      </c>
      <c r="AV982" s="897">
        <v>-35208</v>
      </c>
      <c r="AW982" s="897">
        <v>-35858</v>
      </c>
      <c r="AX982" s="897">
        <v>-36518</v>
      </c>
      <c r="AY982" s="305">
        <f t="shared" si="2641"/>
        <v>-36857</v>
      </c>
      <c r="AZ982" s="988">
        <v>-36857</v>
      </c>
      <c r="BA982" s="897">
        <v>-36980</v>
      </c>
      <c r="BB982" s="897">
        <v>-37131</v>
      </c>
      <c r="BC982" s="897">
        <v>-37149</v>
      </c>
      <c r="BD982" s="305">
        <f t="shared" si="2642"/>
        <v>-37110</v>
      </c>
      <c r="BE982" s="988">
        <v>-37110</v>
      </c>
      <c r="BF982" s="897">
        <v>-37044</v>
      </c>
      <c r="BG982" s="897">
        <v>-37036</v>
      </c>
      <c r="BH982" s="898">
        <v>-37006</v>
      </c>
      <c r="BI982" s="92">
        <f>BH982+BI922</f>
        <v>-37006</v>
      </c>
      <c r="BJ982" s="989">
        <f>BI982</f>
        <v>-37006</v>
      </c>
      <c r="BK982" s="92">
        <f>BJ982+BK922</f>
        <v>-37006</v>
      </c>
      <c r="BL982" s="92">
        <f>BK982+BL922</f>
        <v>-37006</v>
      </c>
      <c r="BM982" s="92">
        <f>BL982+BM922</f>
        <v>-37006</v>
      </c>
      <c r="BN982" s="92">
        <f>BM982+BN922</f>
        <v>-37006</v>
      </c>
      <c r="BO982" s="989">
        <f>BN982</f>
        <v>-37006</v>
      </c>
      <c r="BP982" s="989">
        <f>BO982+BP922</f>
        <v>-37006</v>
      </c>
      <c r="BQ982" s="989">
        <f>BP982+BQ922</f>
        <v>-37006</v>
      </c>
      <c r="BR982" s="989">
        <f>BQ982+BR922</f>
        <v>-37006</v>
      </c>
      <c r="BS982" s="305"/>
    </row>
    <row r="983" spans="1:71" s="300" customFormat="1" ht="15">
      <c r="A983" s="110" t="s">
        <v>200</v>
      </c>
      <c r="B983" s="395"/>
      <c r="C983" s="990">
        <v>-2106</v>
      </c>
      <c r="D983" s="990">
        <v>-172</v>
      </c>
      <c r="E983" s="990">
        <v>29</v>
      </c>
      <c r="F983" s="990">
        <v>1175</v>
      </c>
      <c r="G983" s="990">
        <v>1046</v>
      </c>
      <c r="H983" s="900">
        <v>1486</v>
      </c>
      <c r="I983" s="900">
        <v>1566</v>
      </c>
      <c r="J983" s="900">
        <v>1238</v>
      </c>
      <c r="K983" s="58">
        <f t="shared" si="2633"/>
        <v>561</v>
      </c>
      <c r="L983" s="990">
        <v>561</v>
      </c>
      <c r="M983" s="900">
        <v>774</v>
      </c>
      <c r="N983" s="900">
        <v>67</v>
      </c>
      <c r="O983" s="900">
        <v>-462</v>
      </c>
      <c r="P983" s="58">
        <f t="shared" si="2634"/>
        <v>-755</v>
      </c>
      <c r="Q983" s="990">
        <v>-755</v>
      </c>
      <c r="R983" s="900">
        <v>-150</v>
      </c>
      <c r="S983" s="900">
        <v>295</v>
      </c>
      <c r="T983" s="900">
        <v>502</v>
      </c>
      <c r="U983" s="58">
        <f t="shared" si="2635"/>
        <v>-416</v>
      </c>
      <c r="V983" s="990">
        <v>-416</v>
      </c>
      <c r="W983" s="900">
        <v>-197</v>
      </c>
      <c r="X983" s="900">
        <v>102</v>
      </c>
      <c r="Y983" s="900">
        <v>328</v>
      </c>
      <c r="Z983" s="58">
        <f t="shared" si="2636"/>
        <v>306</v>
      </c>
      <c r="AA983" s="990">
        <v>306</v>
      </c>
      <c r="AB983" s="900">
        <v>-1150</v>
      </c>
      <c r="AC983" s="900">
        <v>-1268</v>
      </c>
      <c r="AD983" s="900">
        <v>-1284</v>
      </c>
      <c r="AE983" s="58">
        <f t="shared" si="2637"/>
        <v>-1557</v>
      </c>
      <c r="AF983" s="990">
        <v>-1557</v>
      </c>
      <c r="AG983" s="900">
        <v>1085</v>
      </c>
      <c r="AH983" s="900">
        <v>1760</v>
      </c>
      <c r="AI983" s="900">
        <v>2107</v>
      </c>
      <c r="AJ983" s="58">
        <f t="shared" si="2638"/>
        <v>1950</v>
      </c>
      <c r="AK983" s="990">
        <v>1950</v>
      </c>
      <c r="AL983" s="900">
        <v>558</v>
      </c>
      <c r="AM983" s="900">
        <v>2628</v>
      </c>
      <c r="AN983" s="900">
        <v>2833</v>
      </c>
      <c r="AO983" s="58">
        <f t="shared" si="2639"/>
        <v>3304</v>
      </c>
      <c r="AP983" s="990">
        <v>3304</v>
      </c>
      <c r="AQ983" s="900">
        <v>1823</v>
      </c>
      <c r="AR983" s="900">
        <v>2290</v>
      </c>
      <c r="AS983" s="900">
        <v>1918</v>
      </c>
      <c r="AT983" s="58">
        <f t="shared" si="2640"/>
        <v>655</v>
      </c>
      <c r="AU983" s="990">
        <v>655</v>
      </c>
      <c r="AV983" s="900">
        <v>-953</v>
      </c>
      <c r="AW983" s="900">
        <v>-2158</v>
      </c>
      <c r="AX983" s="900">
        <v>-3043</v>
      </c>
      <c r="AY983" s="58">
        <f t="shared" si="2641"/>
        <v>-2389</v>
      </c>
      <c r="AZ983" s="990">
        <v>-2389</v>
      </c>
      <c r="BA983" s="900">
        <v>-1673</v>
      </c>
      <c r="BB983" s="900">
        <v>-1914</v>
      </c>
      <c r="BC983" s="900">
        <v>-2570</v>
      </c>
      <c r="BD983" s="58">
        <f t="shared" si="2642"/>
        <v>-700</v>
      </c>
      <c r="BE983" s="990">
        <v>-700</v>
      </c>
      <c r="BF983" s="900">
        <v>-883</v>
      </c>
      <c r="BG983" s="900">
        <v>-1026</v>
      </c>
      <c r="BH983" s="901">
        <v>251</v>
      </c>
      <c r="BI983" s="115">
        <f>BH983</f>
        <v>251</v>
      </c>
      <c r="BJ983" s="995">
        <f>BI983</f>
        <v>251</v>
      </c>
      <c r="BK983" s="115">
        <f>BJ983</f>
        <v>251</v>
      </c>
      <c r="BL983" s="115">
        <f>BK983</f>
        <v>251</v>
      </c>
      <c r="BM983" s="115">
        <f>BL983</f>
        <v>251</v>
      </c>
      <c r="BN983" s="115">
        <f>BM983</f>
        <v>251</v>
      </c>
      <c r="BO983" s="995">
        <f>BN983</f>
        <v>251</v>
      </c>
      <c r="BP983" s="995">
        <f>BO983</f>
        <v>251</v>
      </c>
      <c r="BQ983" s="995">
        <f>BP983</f>
        <v>251</v>
      </c>
      <c r="BR983" s="995">
        <f>BQ983</f>
        <v>251</v>
      </c>
      <c r="BS983" s="305"/>
    </row>
    <row r="984" spans="1:71" s="51" customFormat="1" ht="15">
      <c r="A984" s="87" t="s">
        <v>201</v>
      </c>
      <c r="B984" s="506"/>
      <c r="C984" s="996">
        <f t="shared" si="2646" ref="C984:AK984">SUM(C977:C983)</f>
        <v>16692</v>
      </c>
      <c r="D984" s="996">
        <f t="shared" si="2646"/>
        <v>18617</v>
      </c>
      <c r="E984" s="996">
        <f t="shared" si="2646"/>
        <v>18298</v>
      </c>
      <c r="F984" s="996">
        <f t="shared" si="2646"/>
        <v>20580</v>
      </c>
      <c r="G984" s="996">
        <f t="shared" si="2646"/>
        <v>21480</v>
      </c>
      <c r="H984" s="89">
        <f t="shared" si="2646"/>
        <v>22105</v>
      </c>
      <c r="I984" s="89">
        <f t="shared" si="2646"/>
        <v>22872</v>
      </c>
      <c r="J984" s="89">
        <f t="shared" si="2646"/>
        <v>22329</v>
      </c>
      <c r="K984" s="89">
        <f t="shared" si="2646"/>
        <v>22304</v>
      </c>
      <c r="L984" s="996">
        <f t="shared" si="2646"/>
        <v>22304</v>
      </c>
      <c r="M984" s="89">
        <f t="shared" si="2646"/>
        <v>22179</v>
      </c>
      <c r="N984" s="89">
        <f t="shared" si="2646"/>
        <v>21298</v>
      </c>
      <c r="O984" s="89">
        <f t="shared" si="2646"/>
        <v>20504</v>
      </c>
      <c r="P984" s="89">
        <f t="shared" si="2646"/>
        <v>20025</v>
      </c>
      <c r="Q984" s="996">
        <f t="shared" si="2646"/>
        <v>20025</v>
      </c>
      <c r="R984" s="89">
        <f t="shared" si="2646"/>
        <v>20340</v>
      </c>
      <c r="S984" s="89">
        <f t="shared" si="2646"/>
        <v>20553</v>
      </c>
      <c r="T984" s="89">
        <f t="shared" si="2646"/>
        <v>20934</v>
      </c>
      <c r="U984" s="89">
        <f t="shared" si="2646"/>
        <v>20573</v>
      </c>
      <c r="V984" s="996">
        <f t="shared" si="2646"/>
        <v>20573</v>
      </c>
      <c r="W984" s="89">
        <f t="shared" si="2646"/>
        <v>21158</v>
      </c>
      <c r="X984" s="89">
        <f t="shared" si="2646"/>
        <v>21501</v>
      </c>
      <c r="Y984" s="89">
        <f t="shared" si="2646"/>
        <v>22119</v>
      </c>
      <c r="Z984" s="89">
        <f t="shared" si="2646"/>
        <v>22551</v>
      </c>
      <c r="AA984" s="996">
        <f t="shared" si="2646"/>
        <v>22551</v>
      </c>
      <c r="AB984" s="89">
        <f t="shared" si="2646"/>
        <v>23277</v>
      </c>
      <c r="AC984" s="89">
        <f t="shared" si="2646"/>
        <v>23122</v>
      </c>
      <c r="AD984" s="89">
        <f t="shared" si="2646"/>
        <v>23633</v>
      </c>
      <c r="AE984" s="89">
        <f t="shared" si="2646"/>
        <v>21312</v>
      </c>
      <c r="AF984" s="996">
        <f t="shared" si="2646"/>
        <v>21312</v>
      </c>
      <c r="AG984" s="89">
        <f t="shared" si="2646"/>
        <v>23418</v>
      </c>
      <c r="AH984" s="89">
        <f t="shared" si="2646"/>
        <v>24476</v>
      </c>
      <c r="AI984" s="89">
        <f t="shared" si="2646"/>
        <v>26140</v>
      </c>
      <c r="AJ984" s="89">
        <f t="shared" si="2646"/>
        <v>25998</v>
      </c>
      <c r="AK984" s="996">
        <f t="shared" si="2646"/>
        <v>25998</v>
      </c>
      <c r="AL984" s="89">
        <f>SUM(AL977:AL983)</f>
        <v>24173</v>
      </c>
      <c r="AM984" s="89">
        <f>SUM(AM977:AM983)</f>
        <v>26986</v>
      </c>
      <c r="AN984" s="89">
        <f>SUM(AN977:AN983)</f>
        <v>27263</v>
      </c>
      <c r="AO984" s="89">
        <f t="shared" si="2647" ref="AO984:AP984">SUM(AO977:AO983)</f>
        <v>30217</v>
      </c>
      <c r="AP984" s="996">
        <f t="shared" si="2647"/>
        <v>30217</v>
      </c>
      <c r="AQ984" s="89">
        <f t="shared" si="2648" ref="AQ984:AV984">SUM(AQ977:AQ983)</f>
        <v>26819</v>
      </c>
      <c r="AR984" s="89">
        <f t="shared" si="2648"/>
        <v>28207</v>
      </c>
      <c r="AS984" s="89">
        <f t="shared" si="2648"/>
        <v>26729</v>
      </c>
      <c r="AT984" s="89">
        <f t="shared" si="2648"/>
        <v>25179</v>
      </c>
      <c r="AU984" s="996">
        <f t="shared" si="2648"/>
        <v>25179</v>
      </c>
      <c r="AV984" s="89">
        <f t="shared" si="2648"/>
        <v>23212</v>
      </c>
      <c r="AW984" s="89">
        <f t="shared" si="2649" ref="AW984:BJ984">SUM(AW977:AW983)</f>
        <v>20115</v>
      </c>
      <c r="AX984" s="89">
        <f t="shared" si="2649"/>
        <v>17673</v>
      </c>
      <c r="AY984" s="89">
        <f t="shared" si="2649"/>
        <v>17475</v>
      </c>
      <c r="AZ984" s="996">
        <f t="shared" si="2649"/>
        <v>17475</v>
      </c>
      <c r="BA984" s="89">
        <f t="shared" si="2650" ref="BA984:BI984">SUM(BA977:BA983)</f>
        <v>17494</v>
      </c>
      <c r="BB984" s="89">
        <f t="shared" si="2650"/>
        <v>15517</v>
      </c>
      <c r="BC984" s="89">
        <f t="shared" si="2650"/>
        <v>14593</v>
      </c>
      <c r="BD984" s="89">
        <f t="shared" si="2650"/>
        <v>17770</v>
      </c>
      <c r="BE984" s="996">
        <f t="shared" si="2650"/>
        <v>17770</v>
      </c>
      <c r="BF984" s="89">
        <f>SUM(BF977:BF983)</f>
        <v>18639</v>
      </c>
      <c r="BG984" s="89">
        <f>SUM(BG977:BG983)</f>
        <v>18593</v>
      </c>
      <c r="BH984" s="742">
        <f>SUM(BH977:BH983)</f>
        <v>20877</v>
      </c>
      <c r="BI984" s="90">
        <f t="shared" ca="1" si="2650"/>
        <v>21968.242416004097</v>
      </c>
      <c r="BJ984" s="997">
        <f t="shared" ca="1" si="2649"/>
        <v>21968.242416004097</v>
      </c>
      <c r="BK984" s="90">
        <f ca="1" t="shared" si="2651" ref="BK984:BR984">SUM(BK977:BK983)</f>
        <v>23179.286082130122</v>
      </c>
      <c r="BL984" s="90">
        <f t="shared" ca="1" si="2651"/>
        <v>23800.411046250672</v>
      </c>
      <c r="BM984" s="90">
        <f t="shared" ca="1" si="2651"/>
        <v>24772.965469757524</v>
      </c>
      <c r="BN984" s="90">
        <f t="shared" ca="1" si="2651"/>
        <v>26205.207663861962</v>
      </c>
      <c r="BO984" s="997">
        <f t="shared" ca="1" si="2651"/>
        <v>26205.207663861962</v>
      </c>
      <c r="BP984" s="997">
        <f t="shared" ca="1" si="2651"/>
        <v>30809.999389524324</v>
      </c>
      <c r="BQ984" s="997">
        <f t="shared" ca="1" si="2651"/>
        <v>35549.98796772967</v>
      </c>
      <c r="BR984" s="997">
        <f t="shared" ca="1" si="2651"/>
        <v>40445.796852767453</v>
      </c>
      <c r="BS984" s="57"/>
    </row>
    <row r="985" spans="1:71" s="300" customFormat="1" ht="15">
      <c r="A985" s="304" t="s">
        <v>202</v>
      </c>
      <c r="B985" s="166"/>
      <c r="C985" s="988">
        <v>29</v>
      </c>
      <c r="D985" s="988">
        <v>28</v>
      </c>
      <c r="E985" s="988">
        <v>28</v>
      </c>
      <c r="F985" s="989"/>
      <c r="G985" s="989"/>
      <c r="H985" s="92"/>
      <c r="I985" s="92"/>
      <c r="J985" s="92"/>
      <c r="K985" s="92"/>
      <c r="L985" s="989"/>
      <c r="M985" s="92"/>
      <c r="N985" s="92"/>
      <c r="O985" s="92"/>
      <c r="P985" s="92"/>
      <c r="Q985" s="989"/>
      <c r="R985" s="92"/>
      <c r="S985" s="92"/>
      <c r="T985" s="92"/>
      <c r="U985" s="92"/>
      <c r="V985" s="989"/>
      <c r="W985" s="92"/>
      <c r="X985" s="92"/>
      <c r="Y985" s="92"/>
      <c r="Z985" s="92"/>
      <c r="AA985" s="989"/>
      <c r="AB985" s="92"/>
      <c r="AC985" s="92"/>
      <c r="AD985" s="92"/>
      <c r="AE985" s="92"/>
      <c r="AF985" s="989"/>
      <c r="AG985" s="92"/>
      <c r="AH985" s="92"/>
      <c r="AI985" s="92"/>
      <c r="AJ985" s="92"/>
      <c r="AK985" s="989"/>
      <c r="AL985" s="92"/>
      <c r="AM985" s="92"/>
      <c r="AN985" s="92"/>
      <c r="AO985" s="92"/>
      <c r="AP985" s="989"/>
      <c r="AQ985" s="897">
        <v>-27</v>
      </c>
      <c r="AR985" s="897">
        <v>-15</v>
      </c>
      <c r="AS985" s="897">
        <v>-22</v>
      </c>
      <c r="AT985" s="92">
        <f>AU985</f>
        <v>-52</v>
      </c>
      <c r="AU985" s="988">
        <v>-52</v>
      </c>
      <c r="AV985" s="897">
        <v>-74</v>
      </c>
      <c r="AW985" s="897">
        <v>-91</v>
      </c>
      <c r="AX985" s="897">
        <v>-112</v>
      </c>
      <c r="AY985" s="92">
        <f>AZ985</f>
        <v>-125</v>
      </c>
      <c r="AZ985" s="988">
        <v>-125</v>
      </c>
      <c r="BA985" s="897">
        <v>-121</v>
      </c>
      <c r="BB985" s="897">
        <v>-145</v>
      </c>
      <c r="BC985" s="897">
        <v>-146</v>
      </c>
      <c r="BD985" s="92">
        <f>BE985</f>
        <v>-140</v>
      </c>
      <c r="BE985" s="988">
        <v>-140</v>
      </c>
      <c r="BF985" s="897">
        <v>-159</v>
      </c>
      <c r="BG985" s="897">
        <v>-20</v>
      </c>
      <c r="BH985" s="898">
        <v>-39</v>
      </c>
      <c r="BI985" s="92">
        <f>BH985+BI692</f>
        <v>-39</v>
      </c>
      <c r="BJ985" s="989">
        <f>BI985</f>
        <v>-39</v>
      </c>
      <c r="BK985" s="92">
        <f>BJ985+BK692</f>
        <v>-39</v>
      </c>
      <c r="BL985" s="92">
        <f>BK985+BL692</f>
        <v>-39</v>
      </c>
      <c r="BM985" s="92">
        <f>BL985+BM692</f>
        <v>-39</v>
      </c>
      <c r="BN985" s="92">
        <f>BM985+BN692</f>
        <v>-39</v>
      </c>
      <c r="BO985" s="989">
        <f>BN985</f>
        <v>-39</v>
      </c>
      <c r="BP985" s="989">
        <f>BO985+BP692</f>
        <v>-39</v>
      </c>
      <c r="BQ985" s="989">
        <f>BP985+BQ692</f>
        <v>-39</v>
      </c>
      <c r="BR985" s="989">
        <f>BQ985+BR692</f>
        <v>-39</v>
      </c>
      <c r="BS985" s="305"/>
    </row>
    <row r="986" spans="1:71" s="51" customFormat="1" ht="15">
      <c r="A986" s="109" t="s">
        <v>203</v>
      </c>
      <c r="B986" s="483"/>
      <c r="C986" s="999">
        <f t="shared" si="2652" ref="C986:AK986">C984+C974+C985</f>
        <v>132652</v>
      </c>
      <c r="D986" s="999">
        <f t="shared" si="2652"/>
        <v>130500</v>
      </c>
      <c r="E986" s="999">
        <f t="shared" si="2652"/>
        <v>125193</v>
      </c>
      <c r="F986" s="999">
        <f t="shared" si="2652"/>
        <v>126947</v>
      </c>
      <c r="G986" s="999">
        <f t="shared" si="2652"/>
        <v>123520</v>
      </c>
      <c r="H986" s="57">
        <f t="shared" si="2652"/>
        <v>124291</v>
      </c>
      <c r="I986" s="57">
        <f t="shared" si="2652"/>
        <v>110233</v>
      </c>
      <c r="J986" s="57">
        <f t="shared" si="2652"/>
        <v>108310</v>
      </c>
      <c r="K986" s="57">
        <f t="shared" si="2652"/>
        <v>108479</v>
      </c>
      <c r="L986" s="999">
        <f t="shared" si="2652"/>
        <v>108479</v>
      </c>
      <c r="M986" s="57">
        <f t="shared" si="2652"/>
        <v>108064</v>
      </c>
      <c r="N986" s="57">
        <f t="shared" si="2652"/>
        <v>107117</v>
      </c>
      <c r="O986" s="57">
        <f t="shared" si="2652"/>
        <v>105849</v>
      </c>
      <c r="P986" s="57">
        <f t="shared" si="2652"/>
        <v>104656</v>
      </c>
      <c r="Q986" s="999">
        <f t="shared" si="2652"/>
        <v>104656</v>
      </c>
      <c r="R986" s="57">
        <f t="shared" si="2652"/>
        <v>105947</v>
      </c>
      <c r="S986" s="57">
        <f t="shared" si="2652"/>
        <v>107284</v>
      </c>
      <c r="T986" s="57">
        <f t="shared" si="2652"/>
        <v>108537</v>
      </c>
      <c r="U986" s="57">
        <f t="shared" si="2652"/>
        <v>108610</v>
      </c>
      <c r="V986" s="999">
        <f t="shared" si="2652"/>
        <v>108610</v>
      </c>
      <c r="W986" s="57">
        <f t="shared" si="2652"/>
        <v>110243</v>
      </c>
      <c r="X986" s="57">
        <f t="shared" si="2652"/>
        <v>110865</v>
      </c>
      <c r="Y986" s="57">
        <f t="shared" si="2652"/>
        <v>113632</v>
      </c>
      <c r="Z986" s="57">
        <f t="shared" si="2652"/>
        <v>112422</v>
      </c>
      <c r="AA986" s="999">
        <f t="shared" si="2652"/>
        <v>112422</v>
      </c>
      <c r="AB986" s="57">
        <f t="shared" si="2652"/>
        <v>113289</v>
      </c>
      <c r="AC986" s="57">
        <f t="shared" si="2652"/>
        <v>113369</v>
      </c>
      <c r="AD986" s="57">
        <f t="shared" si="2652"/>
        <v>114490</v>
      </c>
      <c r="AE986" s="57">
        <f t="shared" si="2652"/>
        <v>112249</v>
      </c>
      <c r="AF986" s="999">
        <f t="shared" si="2652"/>
        <v>112249</v>
      </c>
      <c r="AG986" s="57">
        <f t="shared" si="2652"/>
        <v>115834</v>
      </c>
      <c r="AH986" s="57">
        <f t="shared" si="2652"/>
        <v>118374</v>
      </c>
      <c r="AI986" s="57">
        <f t="shared" si="2652"/>
        <v>121073</v>
      </c>
      <c r="AJ986" s="57">
        <f t="shared" si="2652"/>
        <v>119950</v>
      </c>
      <c r="AK986" s="999">
        <f t="shared" si="2652"/>
        <v>119950</v>
      </c>
      <c r="AL986" s="57">
        <f>AL984+AL974+AL985</f>
        <v>116107</v>
      </c>
      <c r="AM986" s="57">
        <f>AM984+AM974+AM985</f>
        <v>121266</v>
      </c>
      <c r="AN986" s="57">
        <f>AN984+AN974+AN985</f>
        <v>122750</v>
      </c>
      <c r="AO986" s="57">
        <f t="shared" si="2653" ref="AO986:AP986">AO984+AO974+AO985</f>
        <v>125987</v>
      </c>
      <c r="AP986" s="999">
        <f t="shared" si="2653"/>
        <v>125987</v>
      </c>
      <c r="AQ986" s="57">
        <f t="shared" si="2654" ref="AQ986:AV986">AQ984+AQ974+AQ985</f>
        <v>129811</v>
      </c>
      <c r="AR986" s="57">
        <f t="shared" si="2654"/>
        <v>132643</v>
      </c>
      <c r="AS986" s="57">
        <f t="shared" si="2654"/>
        <v>133440</v>
      </c>
      <c r="AT986" s="57">
        <f t="shared" si="2654"/>
        <v>99440</v>
      </c>
      <c r="AU986" s="999">
        <f t="shared" si="2654"/>
        <v>99440</v>
      </c>
      <c r="AV986" s="57">
        <f t="shared" si="2654"/>
        <v>97150</v>
      </c>
      <c r="AW986" s="57">
        <f t="shared" si="2655" ref="AW986:BJ986">AW984+AW974+AW985</f>
        <v>96350</v>
      </c>
      <c r="AX986" s="57">
        <f t="shared" si="2655"/>
        <v>97676</v>
      </c>
      <c r="AY986" s="57">
        <f t="shared" si="2655"/>
        <v>97957</v>
      </c>
      <c r="AZ986" s="999">
        <f t="shared" si="2655"/>
        <v>97957</v>
      </c>
      <c r="BA986" s="57">
        <f t="shared" si="2656" ref="BA986:BI986">BA984+BA974+BA985</f>
        <v>99631</v>
      </c>
      <c r="BB986" s="57">
        <f t="shared" si="2656"/>
        <v>100514</v>
      </c>
      <c r="BC986" s="57">
        <f t="shared" si="2656"/>
        <v>101176</v>
      </c>
      <c r="BD986" s="57">
        <f t="shared" si="2656"/>
        <v>103362</v>
      </c>
      <c r="BE986" s="999">
        <f t="shared" si="2656"/>
        <v>103362</v>
      </c>
      <c r="BF986" s="57">
        <f>BF984+BF974+BF985</f>
        <v>105241</v>
      </c>
      <c r="BG986" s="57">
        <f>BG984+BG974+BG985</f>
        <v>108368</v>
      </c>
      <c r="BH986" s="745">
        <f>BH984+BH974+BH985</f>
        <v>113743</v>
      </c>
      <c r="BI986" s="128">
        <f t="shared" ca="1" si="2656"/>
        <v>114066.6025810041</v>
      </c>
      <c r="BJ986" s="1000">
        <f t="shared" ca="1" si="2655"/>
        <v>114066.6025810041</v>
      </c>
      <c r="BK986" s="128">
        <f ca="1" t="shared" si="2657" ref="BK986:BR986">BK984+BK974+BK985</f>
        <v>115946.15552013012</v>
      </c>
      <c r="BL986" s="128">
        <f t="shared" ca="1" si="2657"/>
        <v>117340.23328625067</v>
      </c>
      <c r="BM986" s="128">
        <f t="shared" ca="1" si="2657"/>
        <v>119087.01565775753</v>
      </c>
      <c r="BN986" s="128">
        <f t="shared" ca="1" si="2657"/>
        <v>119699.61967486197</v>
      </c>
      <c r="BO986" s="1000">
        <f t="shared" ca="1" si="2657"/>
        <v>119699.61967486197</v>
      </c>
      <c r="BP986" s="1000">
        <f t="shared" ca="1" si="2657"/>
        <v>126999.57716842432</v>
      </c>
      <c r="BQ986" s="1000">
        <f t="shared" ca="1" si="2657"/>
        <v>134694.77474930667</v>
      </c>
      <c r="BR986" s="1000">
        <f t="shared" ca="1" si="2657"/>
        <v>142633.83285729174</v>
      </c>
      <c r="BS986" s="57"/>
    </row>
    <row r="987" spans="1:71" s="300" customFormat="1" ht="15">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c r="AB987" s="92"/>
      <c r="AC987" s="92"/>
      <c r="AD987" s="92"/>
      <c r="AE987" s="92"/>
      <c r="AF987" s="92"/>
      <c r="AG987" s="92"/>
      <c r="AH987" s="92"/>
      <c r="AI987" s="92"/>
      <c r="AJ987" s="92"/>
      <c r="AK987" s="92"/>
      <c r="AL987" s="92"/>
      <c r="AM987" s="92"/>
      <c r="AN987" s="92"/>
      <c r="AO987" s="92"/>
      <c r="AP987" s="92"/>
      <c r="AQ987" s="92"/>
      <c r="AR987" s="92"/>
      <c r="AS987" s="92"/>
      <c r="AT987" s="92"/>
      <c r="AU987" s="92"/>
      <c r="AV987" s="92"/>
      <c r="AW987" s="92"/>
      <c r="AX987" s="92"/>
      <c r="AY987" s="92"/>
      <c r="AZ987" s="92"/>
      <c r="BA987" s="92"/>
      <c r="BB987" s="92"/>
      <c r="BC987" s="92"/>
      <c r="BD987" s="92"/>
      <c r="BE987" s="92"/>
      <c r="BF987" s="92"/>
      <c r="BG987" s="92"/>
      <c r="BH987" s="464"/>
      <c r="BI987" s="92"/>
      <c r="BJ987" s="92"/>
      <c r="BK987" s="92"/>
      <c r="BL987" s="92"/>
      <c r="BM987" s="92"/>
      <c r="BN987" s="92"/>
      <c r="BO987" s="92"/>
      <c r="BP987" s="92"/>
      <c r="BQ987" s="92"/>
      <c r="BR987" s="92"/>
      <c r="BS987" s="305"/>
    </row>
    <row r="988" spans="1:71" s="300" customFormat="1" ht="15">
      <c r="A988" s="99" t="s">
        <v>204</v>
      </c>
      <c r="B988" s="99"/>
      <c r="C988" s="103">
        <f t="shared" si="2658" ref="C988:AK988">ROUND(C961-C986,6)</f>
        <v>0</v>
      </c>
      <c r="D988" s="103">
        <f t="shared" si="2658"/>
        <v>0</v>
      </c>
      <c r="E988" s="103">
        <f t="shared" si="2658"/>
        <v>0</v>
      </c>
      <c r="F988" s="103">
        <f t="shared" si="2658"/>
        <v>0</v>
      </c>
      <c r="G988" s="103">
        <f t="shared" si="2658"/>
        <v>0</v>
      </c>
      <c r="H988" s="103">
        <f t="shared" si="2658"/>
        <v>0</v>
      </c>
      <c r="I988" s="103">
        <f t="shared" si="2658"/>
        <v>0</v>
      </c>
      <c r="J988" s="103">
        <f t="shared" si="2658"/>
        <v>0</v>
      </c>
      <c r="K988" s="103">
        <f t="shared" si="2658"/>
        <v>0</v>
      </c>
      <c r="L988" s="103">
        <f t="shared" si="2658"/>
        <v>0</v>
      </c>
      <c r="M988" s="103">
        <f t="shared" si="2658"/>
        <v>0</v>
      </c>
      <c r="N988" s="103">
        <f t="shared" si="2658"/>
        <v>0</v>
      </c>
      <c r="O988" s="103">
        <f t="shared" si="2658"/>
        <v>0</v>
      </c>
      <c r="P988" s="103">
        <f t="shared" si="2658"/>
        <v>0</v>
      </c>
      <c r="Q988" s="103">
        <f t="shared" si="2658"/>
        <v>0</v>
      </c>
      <c r="R988" s="103">
        <f t="shared" si="2658"/>
        <v>0</v>
      </c>
      <c r="S988" s="103">
        <f t="shared" si="2658"/>
        <v>0</v>
      </c>
      <c r="T988" s="103">
        <f t="shared" si="2658"/>
        <v>0</v>
      </c>
      <c r="U988" s="103">
        <f t="shared" si="2658"/>
        <v>0</v>
      </c>
      <c r="V988" s="103">
        <f t="shared" si="2658"/>
        <v>0</v>
      </c>
      <c r="W988" s="103">
        <f t="shared" si="2658"/>
        <v>0</v>
      </c>
      <c r="X988" s="103">
        <f t="shared" si="2658"/>
        <v>0</v>
      </c>
      <c r="Y988" s="103">
        <f t="shared" si="2658"/>
        <v>0</v>
      </c>
      <c r="Z988" s="103">
        <f t="shared" si="2658"/>
        <v>0</v>
      </c>
      <c r="AA988" s="103">
        <f t="shared" si="2658"/>
        <v>0</v>
      </c>
      <c r="AB988" s="103">
        <f t="shared" si="2658"/>
        <v>0</v>
      </c>
      <c r="AC988" s="103">
        <f t="shared" si="2658"/>
        <v>0</v>
      </c>
      <c r="AD988" s="103">
        <f t="shared" si="2658"/>
        <v>0</v>
      </c>
      <c r="AE988" s="103">
        <f t="shared" si="2658"/>
        <v>0</v>
      </c>
      <c r="AF988" s="103">
        <f t="shared" si="2658"/>
        <v>0</v>
      </c>
      <c r="AG988" s="103">
        <f t="shared" si="2658"/>
        <v>0</v>
      </c>
      <c r="AH988" s="103">
        <f t="shared" si="2658"/>
        <v>0</v>
      </c>
      <c r="AI988" s="103">
        <f t="shared" si="2658"/>
        <v>0</v>
      </c>
      <c r="AJ988" s="103">
        <f t="shared" si="2658"/>
        <v>0</v>
      </c>
      <c r="AK988" s="103">
        <f t="shared" si="2658"/>
        <v>0</v>
      </c>
      <c r="AL988" s="103">
        <f>ROUND(AL961-AL986,6)</f>
        <v>0</v>
      </c>
      <c r="AM988" s="103">
        <f>ROUND(AM961-AM986,6)</f>
        <v>0</v>
      </c>
      <c r="AN988" s="103">
        <f>ROUND(AN961-AN986,6)</f>
        <v>0</v>
      </c>
      <c r="AO988" s="103">
        <f t="shared" si="2659" ref="AO988:AP988">ROUND(AO961-AO986,6)</f>
        <v>0</v>
      </c>
      <c r="AP988" s="103">
        <f t="shared" si="2659"/>
        <v>0</v>
      </c>
      <c r="AQ988" s="103">
        <f t="shared" si="2660" ref="AQ988:AV988">ROUND(AQ961-AQ986,6)</f>
        <v>0</v>
      </c>
      <c r="AR988" s="103">
        <f t="shared" si="2660"/>
        <v>0</v>
      </c>
      <c r="AS988" s="103">
        <f t="shared" si="2660"/>
        <v>0</v>
      </c>
      <c r="AT988" s="103">
        <f t="shared" si="2660"/>
        <v>0</v>
      </c>
      <c r="AU988" s="103">
        <f t="shared" si="2660"/>
        <v>0</v>
      </c>
      <c r="AV988" s="103">
        <f t="shared" si="2660"/>
        <v>0</v>
      </c>
      <c r="AW988" s="103">
        <f t="shared" si="2661" ref="AW988:BJ988">ROUND(AW961-AW986,6)</f>
        <v>0</v>
      </c>
      <c r="AX988" s="103">
        <f t="shared" si="2661"/>
        <v>0</v>
      </c>
      <c r="AY988" s="103">
        <f t="shared" si="2661"/>
        <v>0</v>
      </c>
      <c r="AZ988" s="103">
        <f t="shared" si="2661"/>
        <v>0</v>
      </c>
      <c r="BA988" s="103">
        <f t="shared" si="2662" ref="BA988:BI988">ROUND(BA961-BA986,6)</f>
        <v>0</v>
      </c>
      <c r="BB988" s="103">
        <f t="shared" si="2662"/>
        <v>0</v>
      </c>
      <c r="BC988" s="103">
        <f t="shared" si="2662"/>
        <v>0</v>
      </c>
      <c r="BD988" s="103">
        <f t="shared" si="2662"/>
        <v>0</v>
      </c>
      <c r="BE988" s="103">
        <f t="shared" si="2662"/>
        <v>0</v>
      </c>
      <c r="BF988" s="103">
        <f>ROUND(BF961-BF986,6)</f>
        <v>0</v>
      </c>
      <c r="BG988" s="103">
        <f>ROUND(BG961-BG986,6)</f>
        <v>0</v>
      </c>
      <c r="BH988" s="450">
        <f>ROUND(BH961-BH986,6)</f>
        <v>0</v>
      </c>
      <c r="BI988" s="103">
        <f t="shared" ca="1" si="2662"/>
        <v>0</v>
      </c>
      <c r="BJ988" s="103">
        <f t="shared" ca="1" si="2661"/>
        <v>0</v>
      </c>
      <c r="BK988" s="103">
        <f ca="1" t="shared" si="2663" ref="BK988:BR988">ROUND(BK961-BK986,6)</f>
        <v>0</v>
      </c>
      <c r="BL988" s="103">
        <f t="shared" ca="1" si="2663"/>
        <v>0</v>
      </c>
      <c r="BM988" s="103">
        <f t="shared" ca="1" si="2663"/>
        <v>0</v>
      </c>
      <c r="BN988" s="103">
        <f t="shared" ca="1" si="2663"/>
        <v>0</v>
      </c>
      <c r="BO988" s="103">
        <f t="shared" ca="1" si="2663"/>
        <v>0</v>
      </c>
      <c r="BP988" s="103">
        <f t="shared" ca="1" si="2663"/>
        <v>0</v>
      </c>
      <c r="BQ988" s="103">
        <f t="shared" ca="1" si="2663"/>
        <v>0</v>
      </c>
      <c r="BR988" s="103">
        <f t="shared" ca="1" si="2663"/>
        <v>0</v>
      </c>
      <c r="BS988" s="305"/>
    </row>
    <row r="989" spans="1:71" s="22" customFormat="1" ht="15">
      <c r="A989" s="819"/>
      <c r="B989" s="819"/>
      <c r="C989" s="840"/>
      <c r="D989" s="840"/>
      <c r="E989" s="840"/>
      <c r="F989" s="840"/>
      <c r="G989" s="840"/>
      <c r="H989" s="840"/>
      <c r="I989" s="840"/>
      <c r="J989" s="840"/>
      <c r="K989" s="840"/>
      <c r="L989" s="840"/>
      <c r="M989" s="840"/>
      <c r="N989" s="840"/>
      <c r="O989" s="840"/>
      <c r="P989" s="840"/>
      <c r="Q989" s="840"/>
      <c r="R989" s="840"/>
      <c r="S989" s="840"/>
      <c r="T989" s="840"/>
      <c r="U989" s="840"/>
      <c r="V989" s="840"/>
      <c r="W989" s="840"/>
      <c r="X989" s="840"/>
      <c r="Y989" s="840"/>
      <c r="Z989" s="840"/>
      <c r="AA989" s="840"/>
      <c r="AB989" s="840"/>
      <c r="AC989" s="840"/>
      <c r="AD989" s="840"/>
      <c r="AE989" s="840"/>
      <c r="AF989" s="840"/>
      <c r="AG989" s="840"/>
      <c r="AH989" s="840"/>
      <c r="AI989" s="840"/>
      <c r="AJ989" s="840"/>
      <c r="AK989" s="840"/>
      <c r="AL989" s="840"/>
      <c r="AM989" s="840"/>
      <c r="AN989" s="840"/>
      <c r="AO989" s="840"/>
      <c r="AP989" s="840"/>
      <c r="AQ989" s="840"/>
      <c r="AR989" s="840"/>
      <c r="AS989" s="840"/>
      <c r="AT989" s="840"/>
      <c r="AU989" s="840"/>
      <c r="AV989" s="840"/>
      <c r="AW989" s="840"/>
      <c r="AX989" s="840"/>
      <c r="AY989" s="840"/>
      <c r="AZ989" s="840"/>
      <c r="BA989" s="840"/>
      <c r="BB989" s="840"/>
      <c r="BC989" s="840"/>
      <c r="BD989" s="840"/>
      <c r="BE989" s="840"/>
      <c r="BF989" s="840"/>
      <c r="BG989" s="840"/>
      <c r="BH989" s="841"/>
      <c r="BI989" s="840"/>
      <c r="BJ989" s="840"/>
      <c r="BK989" s="840"/>
      <c r="BL989" s="840"/>
      <c r="BM989" s="840"/>
      <c r="BN989" s="840"/>
      <c r="BO989" s="840"/>
      <c r="BP989" s="840"/>
      <c r="BQ989" s="840"/>
      <c r="BR989" s="840"/>
      <c r="BS989" s="822"/>
    </row>
    <row r="990" spans="1:71" s="17" customFormat="1" ht="15">
      <c r="A990" s="824" t="s">
        <v>205</v>
      </c>
      <c r="B990" s="824"/>
      <c r="C990" s="860"/>
      <c r="D990" s="860"/>
      <c r="E990" s="860"/>
      <c r="F990" s="860"/>
      <c r="G990" s="860"/>
      <c r="H990" s="860"/>
      <c r="I990" s="860"/>
      <c r="J990" s="860"/>
      <c r="K990" s="860"/>
      <c r="L990" s="860"/>
      <c r="M990" s="860"/>
      <c r="N990" s="860"/>
      <c r="O990" s="860"/>
      <c r="P990" s="860"/>
      <c r="Q990" s="860"/>
      <c r="R990" s="860"/>
      <c r="S990" s="860"/>
      <c r="T990" s="860"/>
      <c r="U990" s="860"/>
      <c r="V990" s="860"/>
      <c r="W990" s="860"/>
      <c r="X990" s="860"/>
      <c r="Y990" s="860"/>
      <c r="Z990" s="860"/>
      <c r="AA990" s="860"/>
      <c r="AB990" s="860"/>
      <c r="AC990" s="860"/>
      <c r="AD990" s="860"/>
      <c r="AE990" s="860"/>
      <c r="AF990" s="860"/>
      <c r="AG990" s="860"/>
      <c r="AH990" s="860"/>
      <c r="AI990" s="860"/>
      <c r="AJ990" s="860"/>
      <c r="AK990" s="860"/>
      <c r="AL990" s="860"/>
      <c r="AM990" s="860"/>
      <c r="AN990" s="860"/>
      <c r="AO990" s="860"/>
      <c r="AP990" s="860"/>
      <c r="AQ990" s="860"/>
      <c r="AR990" s="860"/>
      <c r="AS990" s="860"/>
      <c r="AT990" s="860"/>
      <c r="AU990" s="860"/>
      <c r="AV990" s="860"/>
      <c r="AW990" s="860"/>
      <c r="AX990" s="860"/>
      <c r="AY990" s="860"/>
      <c r="AZ990" s="860"/>
      <c r="BA990" s="860"/>
      <c r="BB990" s="860"/>
      <c r="BC990" s="860"/>
      <c r="BD990" s="860"/>
      <c r="BE990" s="860"/>
      <c r="BF990" s="860"/>
      <c r="BG990" s="860"/>
      <c r="BH990" s="861"/>
      <c r="BI990" s="860"/>
      <c r="BJ990" s="860"/>
      <c r="BK990" s="860"/>
      <c r="BL990" s="860"/>
      <c r="BM990" s="860"/>
      <c r="BN990" s="860"/>
      <c r="BO990" s="860"/>
      <c r="BP990" s="860"/>
      <c r="BQ990" s="860"/>
      <c r="BR990" s="860"/>
      <c r="BS990" s="457"/>
    </row>
    <row r="991" spans="1:71" s="22" customFormat="1" ht="15">
      <c r="A991" s="822" t="s">
        <v>206</v>
      </c>
      <c r="B991" s="530"/>
      <c r="C991" s="868">
        <f t="shared" si="2664" ref="C991:AH991">IF(ISBLANK(INDEX(MO_IS_FirstRow,0,COLUMN())),0,ROUND(C869-C694-C693-C692,6))</f>
        <v>0</v>
      </c>
      <c r="D991" s="868">
        <f t="shared" si="2664"/>
        <v>0</v>
      </c>
      <c r="E991" s="868">
        <f t="shared" si="2664"/>
        <v>0</v>
      </c>
      <c r="F991" s="868">
        <f t="shared" si="2664"/>
        <v>0</v>
      </c>
      <c r="G991" s="868">
        <f t="shared" si="2664"/>
        <v>0</v>
      </c>
      <c r="H991" s="868">
        <f t="shared" si="2664"/>
        <v>0</v>
      </c>
      <c r="I991" s="868">
        <f t="shared" si="2664"/>
        <v>0</v>
      </c>
      <c r="J991" s="868">
        <f t="shared" si="2664"/>
        <v>0</v>
      </c>
      <c r="K991" s="868">
        <f t="shared" si="2664"/>
        <v>0</v>
      </c>
      <c r="L991" s="868">
        <f t="shared" si="2664"/>
        <v>0</v>
      </c>
      <c r="M991" s="868">
        <f t="shared" si="2664"/>
        <v>0</v>
      </c>
      <c r="N991" s="868">
        <f t="shared" si="2664"/>
        <v>0</v>
      </c>
      <c r="O991" s="868">
        <f t="shared" si="2664"/>
        <v>0</v>
      </c>
      <c r="P991" s="868">
        <f t="shared" si="2664"/>
        <v>0</v>
      </c>
      <c r="Q991" s="868">
        <f t="shared" si="2664"/>
        <v>0</v>
      </c>
      <c r="R991" s="868">
        <f t="shared" si="2664"/>
        <v>0</v>
      </c>
      <c r="S991" s="868">
        <f t="shared" si="2664"/>
        <v>0</v>
      </c>
      <c r="T991" s="868">
        <f t="shared" si="2664"/>
        <v>0</v>
      </c>
      <c r="U991" s="868">
        <f t="shared" si="2664"/>
        <v>0</v>
      </c>
      <c r="V991" s="868">
        <f t="shared" si="2664"/>
        <v>0</v>
      </c>
      <c r="W991" s="868">
        <f t="shared" si="2664"/>
        <v>0</v>
      </c>
      <c r="X991" s="868">
        <f t="shared" si="2664"/>
        <v>0</v>
      </c>
      <c r="Y991" s="868">
        <f t="shared" si="2664"/>
        <v>0</v>
      </c>
      <c r="Z991" s="868">
        <f t="shared" si="2664"/>
        <v>0</v>
      </c>
      <c r="AA991" s="868">
        <f t="shared" si="2664"/>
        <v>0</v>
      </c>
      <c r="AB991" s="868">
        <f t="shared" si="2664"/>
        <v>0</v>
      </c>
      <c r="AC991" s="868">
        <f t="shared" si="2664"/>
        <v>0</v>
      </c>
      <c r="AD991" s="868">
        <f t="shared" si="2664"/>
        <v>0</v>
      </c>
      <c r="AE991" s="868">
        <f t="shared" si="2664"/>
        <v>0</v>
      </c>
      <c r="AF991" s="868">
        <f t="shared" si="2664"/>
        <v>0</v>
      </c>
      <c r="AG991" s="868">
        <f t="shared" si="2664"/>
        <v>0</v>
      </c>
      <c r="AH991" s="868">
        <f t="shared" si="2664"/>
        <v>0</v>
      </c>
      <c r="AI991" s="868">
        <f t="shared" si="2665" ref="AI991:BR991">IF(ISBLANK(INDEX(MO_IS_FirstRow,0,COLUMN())),0,ROUND(AI869-AI694-AI693-AI692,6))</f>
        <v>0</v>
      </c>
      <c r="AJ991" s="868">
        <f t="shared" si="2665"/>
        <v>0</v>
      </c>
      <c r="AK991" s="868">
        <f t="shared" si="2665"/>
        <v>0</v>
      </c>
      <c r="AL991" s="868">
        <f t="shared" si="2665"/>
        <v>0</v>
      </c>
      <c r="AM991" s="868">
        <f t="shared" si="2665"/>
        <v>0</v>
      </c>
      <c r="AN991" s="868">
        <f t="shared" si="2665"/>
        <v>0</v>
      </c>
      <c r="AO991" s="868">
        <f t="shared" si="2665"/>
        <v>0</v>
      </c>
      <c r="AP991" s="868">
        <f t="shared" si="2665"/>
        <v>0</v>
      </c>
      <c r="AQ991" s="868">
        <f t="shared" si="2665"/>
        <v>0</v>
      </c>
      <c r="AR991" s="868">
        <f t="shared" si="2665"/>
        <v>0</v>
      </c>
      <c r="AS991" s="868">
        <f t="shared" si="2665"/>
        <v>0</v>
      </c>
      <c r="AT991" s="868">
        <f t="shared" si="2665"/>
        <v>0</v>
      </c>
      <c r="AU991" s="868">
        <f t="shared" si="2665"/>
        <v>0</v>
      </c>
      <c r="AV991" s="868">
        <f t="shared" si="2665"/>
        <v>0</v>
      </c>
      <c r="AW991" s="868">
        <f t="shared" si="2665"/>
        <v>0</v>
      </c>
      <c r="AX991" s="868">
        <f t="shared" si="2665"/>
        <v>0</v>
      </c>
      <c r="AY991" s="868">
        <f t="shared" si="2665"/>
        <v>0</v>
      </c>
      <c r="AZ991" s="868">
        <f t="shared" si="2665"/>
        <v>0</v>
      </c>
      <c r="BA991" s="868">
        <f t="shared" si="2665"/>
        <v>0</v>
      </c>
      <c r="BB991" s="868">
        <f t="shared" si="2665"/>
        <v>0</v>
      </c>
      <c r="BC991" s="868">
        <f t="shared" si="2665"/>
        <v>0</v>
      </c>
      <c r="BD991" s="868">
        <f t="shared" si="2665"/>
        <v>0</v>
      </c>
      <c r="BE991" s="868">
        <f t="shared" si="2665"/>
        <v>0</v>
      </c>
      <c r="BF991" s="868">
        <f t="shared" si="2665"/>
        <v>0</v>
      </c>
      <c r="BG991" s="868">
        <f t="shared" si="2665"/>
        <v>0</v>
      </c>
      <c r="BH991" s="869">
        <f t="shared" si="2665"/>
        <v>0</v>
      </c>
      <c r="BI991" s="868">
        <f t="shared" si="2665"/>
        <v>0</v>
      </c>
      <c r="BJ991" s="868">
        <f t="shared" si="2665"/>
        <v>0</v>
      </c>
      <c r="BK991" s="868">
        <f t="shared" si="2665"/>
        <v>0</v>
      </c>
      <c r="BL991" s="868">
        <f t="shared" si="2665"/>
        <v>0</v>
      </c>
      <c r="BM991" s="868">
        <f t="shared" si="2665"/>
        <v>0</v>
      </c>
      <c r="BN991" s="868">
        <f t="shared" si="2665"/>
        <v>0</v>
      </c>
      <c r="BO991" s="868">
        <f t="shared" si="2665"/>
        <v>0</v>
      </c>
      <c r="BP991" s="868">
        <f t="shared" si="2665"/>
        <v>0</v>
      </c>
      <c r="BQ991" s="868">
        <f t="shared" si="2665"/>
        <v>0</v>
      </c>
      <c r="BR991" s="868">
        <f t="shared" si="2665"/>
        <v>0</v>
      </c>
      <c r="BS991" s="822"/>
    </row>
    <row r="992" spans="1:71" s="22" customFormat="1" ht="15">
      <c r="A992" s="822" t="s">
        <v>207</v>
      </c>
      <c r="B992" s="530"/>
      <c r="C992" s="868">
        <f t="shared" si="2666" ref="C992:AH992">IF(ISBLANK(INDEX(MO_IS_FirstRow,0,COLUMN())),0,ROUND(C635-C689,6))</f>
        <v>0</v>
      </c>
      <c r="D992" s="868">
        <f t="shared" si="2666"/>
        <v>0</v>
      </c>
      <c r="E992" s="868">
        <f t="shared" si="2666"/>
        <v>0</v>
      </c>
      <c r="F992" s="868">
        <f t="shared" si="2666"/>
        <v>0</v>
      </c>
      <c r="G992" s="868">
        <f t="shared" si="2666"/>
        <v>0</v>
      </c>
      <c r="H992" s="868">
        <f t="shared" si="2666"/>
        <v>0</v>
      </c>
      <c r="I992" s="868">
        <f t="shared" si="2666"/>
        <v>0</v>
      </c>
      <c r="J992" s="868">
        <f t="shared" si="2666"/>
        <v>0</v>
      </c>
      <c r="K992" s="868">
        <f t="shared" si="2666"/>
        <v>0</v>
      </c>
      <c r="L992" s="868">
        <f t="shared" si="2666"/>
        <v>0</v>
      </c>
      <c r="M992" s="868">
        <f t="shared" si="2666"/>
        <v>0</v>
      </c>
      <c r="N992" s="868">
        <f t="shared" si="2666"/>
        <v>0</v>
      </c>
      <c r="O992" s="868">
        <f t="shared" si="2666"/>
        <v>0</v>
      </c>
      <c r="P992" s="868">
        <f t="shared" si="2666"/>
        <v>0</v>
      </c>
      <c r="Q992" s="868">
        <f t="shared" si="2666"/>
        <v>0</v>
      </c>
      <c r="R992" s="868">
        <f t="shared" si="2666"/>
        <v>0</v>
      </c>
      <c r="S992" s="868">
        <f t="shared" si="2666"/>
        <v>0</v>
      </c>
      <c r="T992" s="868">
        <f t="shared" si="2666"/>
        <v>0</v>
      </c>
      <c r="U992" s="868">
        <f t="shared" si="2666"/>
        <v>0</v>
      </c>
      <c r="V992" s="868">
        <f t="shared" si="2666"/>
        <v>0</v>
      </c>
      <c r="W992" s="868">
        <f t="shared" si="2666"/>
        <v>0</v>
      </c>
      <c r="X992" s="868">
        <f t="shared" si="2666"/>
        <v>0</v>
      </c>
      <c r="Y992" s="868">
        <f t="shared" si="2666"/>
        <v>0</v>
      </c>
      <c r="Z992" s="868">
        <f t="shared" si="2666"/>
        <v>0</v>
      </c>
      <c r="AA992" s="868">
        <f t="shared" si="2666"/>
        <v>0</v>
      </c>
      <c r="AB992" s="868">
        <f t="shared" si="2666"/>
        <v>0</v>
      </c>
      <c r="AC992" s="868">
        <f t="shared" si="2666"/>
        <v>0</v>
      </c>
      <c r="AD992" s="868">
        <f t="shared" si="2666"/>
        <v>0</v>
      </c>
      <c r="AE992" s="868">
        <f t="shared" si="2666"/>
        <v>0</v>
      </c>
      <c r="AF992" s="868">
        <f t="shared" si="2666"/>
        <v>0</v>
      </c>
      <c r="AG992" s="868">
        <f t="shared" si="2666"/>
        <v>0</v>
      </c>
      <c r="AH992" s="868">
        <f t="shared" si="2666"/>
        <v>0</v>
      </c>
      <c r="AI992" s="868">
        <f t="shared" si="2667" ref="AI992:BR992">IF(ISBLANK(INDEX(MO_IS_FirstRow,0,COLUMN())),0,ROUND(AI635-AI689,6))</f>
        <v>0</v>
      </c>
      <c r="AJ992" s="868">
        <f t="shared" si="2667"/>
        <v>0</v>
      </c>
      <c r="AK992" s="868">
        <f t="shared" si="2667"/>
        <v>0</v>
      </c>
      <c r="AL992" s="868">
        <f t="shared" si="2667"/>
        <v>0</v>
      </c>
      <c r="AM992" s="868">
        <f t="shared" si="2667"/>
        <v>0</v>
      </c>
      <c r="AN992" s="868">
        <f t="shared" si="2667"/>
        <v>0</v>
      </c>
      <c r="AO992" s="868">
        <f t="shared" si="2667"/>
        <v>0</v>
      </c>
      <c r="AP992" s="868">
        <f t="shared" si="2667"/>
        <v>0</v>
      </c>
      <c r="AQ992" s="868">
        <f t="shared" si="2667"/>
        <v>0</v>
      </c>
      <c r="AR992" s="868">
        <f t="shared" si="2667"/>
        <v>0</v>
      </c>
      <c r="AS992" s="868">
        <f t="shared" si="2667"/>
        <v>0</v>
      </c>
      <c r="AT992" s="868">
        <f t="shared" si="2667"/>
        <v>0</v>
      </c>
      <c r="AU992" s="868">
        <f t="shared" si="2667"/>
        <v>0</v>
      </c>
      <c r="AV992" s="868">
        <f t="shared" si="2667"/>
        <v>0</v>
      </c>
      <c r="AW992" s="868">
        <f t="shared" si="2667"/>
        <v>0</v>
      </c>
      <c r="AX992" s="868">
        <f t="shared" si="2667"/>
        <v>0</v>
      </c>
      <c r="AY992" s="868">
        <f t="shared" si="2667"/>
        <v>0</v>
      </c>
      <c r="AZ992" s="868">
        <f t="shared" si="2667"/>
        <v>0</v>
      </c>
      <c r="BA992" s="868">
        <f t="shared" si="2667"/>
        <v>0</v>
      </c>
      <c r="BB992" s="868">
        <f t="shared" si="2667"/>
        <v>0</v>
      </c>
      <c r="BC992" s="868">
        <f t="shared" si="2667"/>
        <v>0</v>
      </c>
      <c r="BD992" s="868">
        <f t="shared" si="2667"/>
        <v>0</v>
      </c>
      <c r="BE992" s="868">
        <f t="shared" si="2667"/>
        <v>0</v>
      </c>
      <c r="BF992" s="868">
        <f t="shared" si="2667"/>
        <v>0</v>
      </c>
      <c r="BG992" s="868">
        <f t="shared" si="2667"/>
        <v>0</v>
      </c>
      <c r="BH992" s="869">
        <f t="shared" si="2667"/>
        <v>0</v>
      </c>
      <c r="BI992" s="868">
        <f t="shared" si="2667"/>
        <v>0</v>
      </c>
      <c r="BJ992" s="868">
        <f t="shared" si="2667"/>
        <v>0</v>
      </c>
      <c r="BK992" s="868">
        <f t="shared" si="2667"/>
        <v>0</v>
      </c>
      <c r="BL992" s="868">
        <f t="shared" si="2667"/>
        <v>0</v>
      </c>
      <c r="BM992" s="868">
        <f t="shared" si="2667"/>
        <v>0</v>
      </c>
      <c r="BN992" s="868">
        <f t="shared" si="2667"/>
        <v>0</v>
      </c>
      <c r="BO992" s="868">
        <f t="shared" si="2667"/>
        <v>0</v>
      </c>
      <c r="BP992" s="868">
        <f t="shared" si="2667"/>
        <v>0</v>
      </c>
      <c r="BQ992" s="868">
        <f t="shared" si="2667"/>
        <v>0</v>
      </c>
      <c r="BR992" s="868">
        <f t="shared" si="2667"/>
        <v>0</v>
      </c>
      <c r="BS992" s="822"/>
    </row>
    <row r="993" spans="1:71" s="22" customFormat="1" ht="15">
      <c r="A993" s="822" t="s">
        <v>208</v>
      </c>
      <c r="B993" s="530"/>
      <c r="C993" s="868"/>
      <c r="D993" s="868"/>
      <c r="E993" s="868"/>
      <c r="F993" s="868"/>
      <c r="G993" s="868"/>
      <c r="H993" s="868"/>
      <c r="I993" s="868"/>
      <c r="J993" s="868"/>
      <c r="K993" s="868"/>
      <c r="L993" s="868"/>
      <c r="M993" s="868"/>
      <c r="N993" s="868"/>
      <c r="O993" s="868"/>
      <c r="P993" s="868"/>
      <c r="Q993" s="868">
        <f>ROUND(INDEX(MO_UI_NEP,0,COLUMN())-INDEX(MO_RIS_NEP,0,COLUMN())+Q230+Q534+Q270+Q574,6)</f>
        <v>0</v>
      </c>
      <c r="R993" s="868"/>
      <c r="S993" s="868"/>
      <c r="T993" s="868"/>
      <c r="U993" s="868"/>
      <c r="V993" s="868">
        <f t="shared" si="2668" ref="V993:AK993">ROUND(INDEX(MO_UI_NEP,0,COLUMN())-INDEX(MO_RIS_NEP,0,COLUMN())+V230+V534+V270+V574,6)</f>
        <v>0</v>
      </c>
      <c r="W993" s="868">
        <f t="shared" si="2668"/>
        <v>0</v>
      </c>
      <c r="X993" s="868">
        <f t="shared" si="2668"/>
        <v>0</v>
      </c>
      <c r="Y993" s="868">
        <f t="shared" si="2668"/>
        <v>0</v>
      </c>
      <c r="Z993" s="868">
        <f t="shared" si="2668"/>
        <v>0</v>
      </c>
      <c r="AA993" s="868">
        <f t="shared" si="2668"/>
        <v>0</v>
      </c>
      <c r="AB993" s="868">
        <f t="shared" si="2668"/>
        <v>0</v>
      </c>
      <c r="AC993" s="868">
        <f t="shared" si="2668"/>
        <v>0</v>
      </c>
      <c r="AD993" s="868">
        <f t="shared" si="2668"/>
        <v>0</v>
      </c>
      <c r="AE993" s="868">
        <f t="shared" si="2668"/>
        <v>0</v>
      </c>
      <c r="AF993" s="868">
        <f t="shared" si="2668"/>
        <v>0</v>
      </c>
      <c r="AG993" s="868">
        <f t="shared" si="2668"/>
        <v>0</v>
      </c>
      <c r="AH993" s="868">
        <f t="shared" si="2668"/>
        <v>0</v>
      </c>
      <c r="AI993" s="868">
        <f t="shared" si="2668"/>
        <v>0</v>
      </c>
      <c r="AJ993" s="868">
        <f t="shared" si="2668"/>
        <v>0</v>
      </c>
      <c r="AK993" s="868">
        <f t="shared" si="2668"/>
        <v>0</v>
      </c>
      <c r="AL993" s="868">
        <f t="shared" si="2669" ref="AL993:BR993">ROUND(INDEX(MO_UI_NEP,0,COLUMN())-INDEX(MO_RIS_NEP,0,COLUMN())+AL230+AL270,6)</f>
        <v>0</v>
      </c>
      <c r="AM993" s="868">
        <f t="shared" si="2669"/>
        <v>0</v>
      </c>
      <c r="AN993" s="868">
        <f t="shared" si="2669"/>
        <v>0</v>
      </c>
      <c r="AO993" s="868">
        <f t="shared" si="2669"/>
        <v>0</v>
      </c>
      <c r="AP993" s="868">
        <f t="shared" si="2669"/>
        <v>0</v>
      </c>
      <c r="AQ993" s="868">
        <f t="shared" si="2669"/>
        <v>0</v>
      </c>
      <c r="AR993" s="868">
        <f t="shared" si="2669"/>
        <v>0</v>
      </c>
      <c r="AS993" s="868">
        <f t="shared" si="2669"/>
        <v>0</v>
      </c>
      <c r="AT993" s="868">
        <f t="shared" si="2669"/>
        <v>0</v>
      </c>
      <c r="AU993" s="868">
        <f t="shared" si="2669"/>
        <v>0</v>
      </c>
      <c r="AV993" s="868">
        <f t="shared" si="2669"/>
        <v>0</v>
      </c>
      <c r="AW993" s="868">
        <f t="shared" si="2669"/>
        <v>0</v>
      </c>
      <c r="AX993" s="868">
        <f t="shared" si="2669"/>
        <v>0</v>
      </c>
      <c r="AY993" s="868">
        <f t="shared" si="2669"/>
        <v>0</v>
      </c>
      <c r="AZ993" s="868">
        <f t="shared" si="2669"/>
        <v>0</v>
      </c>
      <c r="BA993" s="868">
        <f t="shared" si="2669"/>
        <v>0</v>
      </c>
      <c r="BB993" s="868">
        <f t="shared" si="2669"/>
        <v>0</v>
      </c>
      <c r="BC993" s="868">
        <f t="shared" si="2669"/>
        <v>0</v>
      </c>
      <c r="BD993" s="868">
        <f t="shared" si="2669"/>
        <v>0</v>
      </c>
      <c r="BE993" s="868">
        <f t="shared" si="2669"/>
        <v>0</v>
      </c>
      <c r="BF993" s="868">
        <f t="shared" si="2669"/>
        <v>0</v>
      </c>
      <c r="BG993" s="868">
        <f t="shared" si="2669"/>
        <v>0</v>
      </c>
      <c r="BH993" s="869">
        <f t="shared" si="2669"/>
        <v>0</v>
      </c>
      <c r="BI993" s="868">
        <f t="shared" si="2669"/>
        <v>0</v>
      </c>
      <c r="BJ993" s="868">
        <f t="shared" si="2669"/>
        <v>0</v>
      </c>
      <c r="BK993" s="868">
        <f t="shared" si="2669"/>
        <v>0</v>
      </c>
      <c r="BL993" s="868">
        <f t="shared" si="2669"/>
        <v>0</v>
      </c>
      <c r="BM993" s="868">
        <f t="shared" si="2669"/>
        <v>0</v>
      </c>
      <c r="BN993" s="868">
        <f t="shared" si="2669"/>
        <v>0</v>
      </c>
      <c r="BO993" s="868">
        <f t="shared" si="2669"/>
        <v>0</v>
      </c>
      <c r="BP993" s="868">
        <f t="shared" si="2669"/>
        <v>0</v>
      </c>
      <c r="BQ993" s="868">
        <f t="shared" si="2669"/>
        <v>0</v>
      </c>
      <c r="BR993" s="868">
        <f t="shared" si="2669"/>
        <v>0</v>
      </c>
      <c r="BS993" s="822"/>
    </row>
    <row r="994" spans="1:71" s="22" customFormat="1" ht="15">
      <c r="A994" s="822" t="s">
        <v>209</v>
      </c>
      <c r="B994" s="530"/>
      <c r="C994" s="868"/>
      <c r="D994" s="868"/>
      <c r="E994" s="868"/>
      <c r="F994" s="868"/>
      <c r="G994" s="868"/>
      <c r="H994" s="868"/>
      <c r="I994" s="868"/>
      <c r="J994" s="868"/>
      <c r="K994" s="868"/>
      <c r="L994" s="868"/>
      <c r="M994" s="868"/>
      <c r="N994" s="868"/>
      <c r="O994" s="868"/>
      <c r="P994" s="868"/>
      <c r="Q994" s="868">
        <f>ROUND(INDEX(MO_UI_Loss,0,COLUMN())-INDEX(MO_RIS_Loss,0,COLUMN())-Q236-Q539-Q275-Q578,6)</f>
        <v>-158.71700000000001</v>
      </c>
      <c r="R994" s="868"/>
      <c r="S994" s="868"/>
      <c r="T994" s="868"/>
      <c r="U994" s="868"/>
      <c r="V994" s="868">
        <f t="shared" si="2670" ref="V994:BA994">ROUND(INDEX(MO_UI_Loss,0,COLUMN())-INDEX(MO_RIS_Loss,0,COLUMN())-V236-V539-V275-V578,6)</f>
        <v>19.623999999999999</v>
      </c>
      <c r="W994" s="868">
        <f t="shared" si="2670"/>
        <v>-1.3260000000000001</v>
      </c>
      <c r="X994" s="868">
        <f t="shared" si="2670"/>
        <v>2.4260000000000002</v>
      </c>
      <c r="Y994" s="868">
        <f t="shared" si="2670"/>
        <v>2.488</v>
      </c>
      <c r="Z994" s="868">
        <f t="shared" si="2670"/>
        <v>1.151</v>
      </c>
      <c r="AA994" s="868">
        <f t="shared" si="2670"/>
        <v>4.7389999999999999</v>
      </c>
      <c r="AB994" s="868">
        <f t="shared" si="2670"/>
        <v>-17.068000000000001</v>
      </c>
      <c r="AC994" s="868">
        <f t="shared" si="2670"/>
        <v>-17.834</v>
      </c>
      <c r="AD994" s="868">
        <f t="shared" si="2670"/>
        <v>-14.36</v>
      </c>
      <c r="AE994" s="868">
        <f t="shared" si="2670"/>
        <v>-12.638</v>
      </c>
      <c r="AF994" s="868">
        <f t="shared" si="2670"/>
        <v>-61.90</v>
      </c>
      <c r="AG994" s="868">
        <f t="shared" si="2670"/>
        <v>-0.78900000000000003</v>
      </c>
      <c r="AH994" s="868">
        <f t="shared" si="2670"/>
        <v>0.68200000000000005</v>
      </c>
      <c r="AI994" s="868">
        <f t="shared" si="2670"/>
        <v>6.3760000000000003</v>
      </c>
      <c r="AJ994" s="868">
        <f t="shared" si="2670"/>
        <v>4.7560000000000002</v>
      </c>
      <c r="AK994" s="868">
        <f t="shared" si="2670"/>
        <v>11.025</v>
      </c>
      <c r="AL994" s="868">
        <f t="shared" si="2670"/>
        <v>361.67099999999999</v>
      </c>
      <c r="AM994" s="868">
        <f t="shared" si="2670"/>
        <v>379.54</v>
      </c>
      <c r="AN994" s="868">
        <f t="shared" si="2670"/>
        <v>605.70399999999995</v>
      </c>
      <c r="AO994" s="868">
        <f t="shared" si="2670"/>
        <v>400.21199999999999</v>
      </c>
      <c r="AP994" s="868">
        <f t="shared" si="2670"/>
        <v>1747.127</v>
      </c>
      <c r="AQ994" s="868">
        <f t="shared" si="2670"/>
        <v>-1.40</v>
      </c>
      <c r="AR994" s="868">
        <f t="shared" si="2670"/>
        <v>9.3900000000000006</v>
      </c>
      <c r="AS994" s="868">
        <f t="shared" si="2670"/>
        <v>-3.39</v>
      </c>
      <c r="AT994" s="868">
        <f t="shared" si="2670"/>
        <v>14.194000000000001</v>
      </c>
      <c r="AU994" s="868">
        <f t="shared" si="2670"/>
        <v>18.794</v>
      </c>
      <c r="AV994" s="868">
        <f t="shared" si="2670"/>
        <v>-2.9660000000000002</v>
      </c>
      <c r="AW994" s="868">
        <f t="shared" si="2670"/>
        <v>-3.9740000000000002</v>
      </c>
      <c r="AX994" s="868">
        <f t="shared" si="2670"/>
        <v>6.16</v>
      </c>
      <c r="AY994" s="868">
        <f t="shared" si="2670"/>
        <v>-30.023</v>
      </c>
      <c r="AZ994" s="868">
        <f t="shared" si="2670"/>
        <v>-30.803000000000001</v>
      </c>
      <c r="BA994" s="868">
        <f t="shared" si="2670"/>
        <v>9.625</v>
      </c>
      <c r="BB994" s="868">
        <f t="shared" si="2671" ref="BB994:BR994">ROUND(INDEX(MO_UI_Loss,0,COLUMN())-INDEX(MO_RIS_Loss,0,COLUMN())-BB236-BB539-BB275-BB578,6)</f>
        <v>-9.6300000000000008</v>
      </c>
      <c r="BC994" s="868">
        <f t="shared" si="2671"/>
        <v>11.05</v>
      </c>
      <c r="BD994" s="868">
        <f t="shared" si="2671"/>
        <v>-20.353999999999999</v>
      </c>
      <c r="BE994" s="868">
        <f t="shared" si="2671"/>
        <v>-9.3089999999999993</v>
      </c>
      <c r="BF994" s="868">
        <f t="shared" si="2671"/>
        <v>0.60</v>
      </c>
      <c r="BG994" s="868">
        <f t="shared" si="2671"/>
        <v>2.5219999999999998</v>
      </c>
      <c r="BH994" s="869">
        <f t="shared" si="2671"/>
        <v>4.3360000000000003</v>
      </c>
      <c r="BI994" s="868">
        <f t="shared" si="2671"/>
        <v>0</v>
      </c>
      <c r="BJ994" s="868">
        <f t="shared" si="2671"/>
        <v>10.74</v>
      </c>
      <c r="BK994" s="868">
        <f t="shared" si="2671"/>
        <v>0</v>
      </c>
      <c r="BL994" s="868">
        <f t="shared" si="2671"/>
        <v>0</v>
      </c>
      <c r="BM994" s="868">
        <f t="shared" si="2671"/>
        <v>0</v>
      </c>
      <c r="BN994" s="868">
        <f t="shared" si="2671"/>
        <v>0</v>
      </c>
      <c r="BO994" s="868">
        <f t="shared" si="2671"/>
        <v>0</v>
      </c>
      <c r="BP994" s="868">
        <f t="shared" si="2671"/>
        <v>0</v>
      </c>
      <c r="BQ994" s="868">
        <f t="shared" si="2671"/>
        <v>0</v>
      </c>
      <c r="BR994" s="868">
        <f t="shared" si="2671"/>
        <v>0</v>
      </c>
      <c r="BS994" s="822"/>
    </row>
    <row r="995" spans="1:71" s="22" customFormat="1" ht="15">
      <c r="A995" s="822" t="s">
        <v>210</v>
      </c>
      <c r="B995" s="530"/>
      <c r="C995" s="868"/>
      <c r="D995" s="868"/>
      <c r="E995" s="868"/>
      <c r="F995" s="868"/>
      <c r="G995" s="868"/>
      <c r="H995" s="868"/>
      <c r="I995" s="868"/>
      <c r="J995" s="868"/>
      <c r="K995" s="868"/>
      <c r="L995" s="868"/>
      <c r="M995" s="868"/>
      <c r="N995" s="868"/>
      <c r="O995" s="868"/>
      <c r="P995" s="868"/>
      <c r="Q995" s="868">
        <f>ROUND(INDEX(MO_UI_OOE,0,COLUMN())-INDEX(MO_RIS_OOE,0,COLUMN())-Q237-Q238-Q240-Q540-Q541-Q542-Q276-Q277-Q278-Q579-Q580-Q581-Q311,6)</f>
        <v>-167.059</v>
      </c>
      <c r="R995" s="868"/>
      <c r="S995" s="868"/>
      <c r="T995" s="868"/>
      <c r="U995" s="868"/>
      <c r="V995" s="868">
        <f t="shared" si="2672" ref="V995:BA995">ROUND(INDEX(MO_UI_OOE,0,COLUMN())-INDEX(MO_RIS_OOE,0,COLUMN())-V237-V238-V240-V540-V541-V542-V276-V277-V278-V579-V580-V581-V311,6)</f>
        <v>90.115</v>
      </c>
      <c r="W995" s="868">
        <f t="shared" si="2672"/>
        <v>53.436999999999998</v>
      </c>
      <c r="X995" s="868">
        <f t="shared" si="2672"/>
        <v>65.328999999999994</v>
      </c>
      <c r="Y995" s="868">
        <f t="shared" si="2672"/>
        <v>69</v>
      </c>
      <c r="Z995" s="868">
        <f t="shared" si="2672"/>
        <v>-57.515999999999998</v>
      </c>
      <c r="AA995" s="868">
        <f t="shared" si="2672"/>
        <v>130.25</v>
      </c>
      <c r="AB995" s="868">
        <f t="shared" si="2672"/>
        <v>-184.32599999999999</v>
      </c>
      <c r="AC995" s="868">
        <f t="shared" si="2672"/>
        <v>-184.75</v>
      </c>
      <c r="AD995" s="868">
        <f t="shared" si="2672"/>
        <v>-251.36</v>
      </c>
      <c r="AE995" s="868">
        <f t="shared" si="2672"/>
        <v>-298.11399999999998</v>
      </c>
      <c r="AF995" s="868">
        <f t="shared" si="2672"/>
        <v>-918.55</v>
      </c>
      <c r="AG995" s="868">
        <f t="shared" si="2672"/>
        <v>-145.292</v>
      </c>
      <c r="AH995" s="868">
        <f t="shared" si="2672"/>
        <v>-215.965</v>
      </c>
      <c r="AI995" s="868">
        <f t="shared" si="2672"/>
        <v>-156.666</v>
      </c>
      <c r="AJ995" s="868">
        <f t="shared" si="2672"/>
        <v>-151.91399999999999</v>
      </c>
      <c r="AK995" s="868">
        <f t="shared" si="2672"/>
        <v>-669.83699999999999</v>
      </c>
      <c r="AL995" s="868">
        <f t="shared" si="2672"/>
        <v>73.417000000000002</v>
      </c>
      <c r="AM995" s="868">
        <f t="shared" si="2672"/>
        <v>98.433999999999997</v>
      </c>
      <c r="AN995" s="868">
        <f t="shared" si="2672"/>
        <v>136.048</v>
      </c>
      <c r="AO995" s="868">
        <f t="shared" si="2672"/>
        <v>76.540999999999997</v>
      </c>
      <c r="AP995" s="868">
        <f t="shared" si="2672"/>
        <v>384.44</v>
      </c>
      <c r="AQ995" s="868">
        <f t="shared" si="2672"/>
        <v>-420.12799999999999</v>
      </c>
      <c r="AR995" s="868">
        <f t="shared" si="2672"/>
        <v>-316.77699999999999</v>
      </c>
      <c r="AS995" s="868">
        <f t="shared" si="2672"/>
        <v>-362.09100000000001</v>
      </c>
      <c r="AT995" s="868">
        <f t="shared" si="2672"/>
        <v>-351.774</v>
      </c>
      <c r="AU995" s="868">
        <f t="shared" si="2672"/>
        <v>-1450.77</v>
      </c>
      <c r="AV995" s="868">
        <f t="shared" si="2672"/>
        <v>-349.48</v>
      </c>
      <c r="AW995" s="868">
        <f t="shared" si="2672"/>
        <v>-318.98000000000002</v>
      </c>
      <c r="AX995" s="868">
        <f t="shared" si="2672"/>
        <v>-361.675</v>
      </c>
      <c r="AY995" s="868">
        <f t="shared" si="2672"/>
        <v>-336.795</v>
      </c>
      <c r="AZ995" s="868">
        <f t="shared" si="2672"/>
        <v>-1366.93</v>
      </c>
      <c r="BA995" s="868">
        <f t="shared" si="2672"/>
        <v>-348.015</v>
      </c>
      <c r="BB995" s="868">
        <f t="shared" si="2673" ref="BB995:BR995">ROUND(INDEX(MO_UI_OOE,0,COLUMN())-INDEX(MO_RIS_OOE,0,COLUMN())-BB237-BB238-BB240-BB540-BB541-BB542-BB276-BB277-BB278-BB579-BB580-BB581-BB311,6)</f>
        <v>-473.195</v>
      </c>
      <c r="BC995" s="868">
        <f t="shared" si="2673"/>
        <v>-410.76</v>
      </c>
      <c r="BD995" s="868">
        <f t="shared" si="2673"/>
        <v>-382.36</v>
      </c>
      <c r="BE995" s="868">
        <f t="shared" si="2673"/>
        <v>-1614.33</v>
      </c>
      <c r="BF995" s="868">
        <f t="shared" si="2673"/>
        <v>-412.60</v>
      </c>
      <c r="BG995" s="868">
        <f t="shared" si="2673"/>
        <v>-415.79300000000001</v>
      </c>
      <c r="BH995" s="869">
        <f t="shared" si="2673"/>
        <v>-515.78999999999996</v>
      </c>
      <c r="BI995" s="868">
        <f t="shared" si="2673"/>
        <v>0</v>
      </c>
      <c r="BJ995" s="868">
        <f t="shared" si="2673"/>
        <v>-1337.3209999999999</v>
      </c>
      <c r="BK995" s="868">
        <f t="shared" si="2673"/>
        <v>0</v>
      </c>
      <c r="BL995" s="868">
        <f t="shared" si="2673"/>
        <v>0</v>
      </c>
      <c r="BM995" s="868">
        <f t="shared" si="2673"/>
        <v>0</v>
      </c>
      <c r="BN995" s="868">
        <f t="shared" si="2673"/>
        <v>0</v>
      </c>
      <c r="BO995" s="868">
        <f t="shared" si="2673"/>
        <v>0</v>
      </c>
      <c r="BP995" s="868">
        <f t="shared" si="2673"/>
        <v>0</v>
      </c>
      <c r="BQ995" s="868">
        <f t="shared" si="2673"/>
        <v>0</v>
      </c>
      <c r="BR995" s="868">
        <f t="shared" si="2673"/>
        <v>0</v>
      </c>
      <c r="BS995" s="822"/>
    </row>
    <row r="996" spans="1:71" s="22" customFormat="1" ht="15">
      <c r="A996" s="822" t="s">
        <v>211</v>
      </c>
      <c r="B996" s="530"/>
      <c r="C996" s="868">
        <f t="shared" si="2674" ref="C996:AP996">ROUND(INDEX(MO_II_NetII,0,COLUMN())-INDEX(MO_RIS_NetII,0,COLUMN()),6)</f>
        <v>0</v>
      </c>
      <c r="D996" s="868">
        <f t="shared" si="2674"/>
        <v>0</v>
      </c>
      <c r="E996" s="868">
        <f t="shared" si="2674"/>
        <v>0</v>
      </c>
      <c r="F996" s="868">
        <f t="shared" si="2674"/>
        <v>0</v>
      </c>
      <c r="G996" s="868">
        <f t="shared" si="2674"/>
        <v>0</v>
      </c>
      <c r="H996" s="868">
        <f t="shared" si="2674"/>
        <v>0</v>
      </c>
      <c r="I996" s="868">
        <f t="shared" si="2674"/>
        <v>0</v>
      </c>
      <c r="J996" s="868">
        <f t="shared" si="2674"/>
        <v>0</v>
      </c>
      <c r="K996" s="868">
        <f t="shared" si="2674"/>
        <v>0</v>
      </c>
      <c r="L996" s="868">
        <f t="shared" si="2674"/>
        <v>0</v>
      </c>
      <c r="M996" s="868">
        <f t="shared" si="2674"/>
        <v>0</v>
      </c>
      <c r="N996" s="868">
        <f t="shared" si="2674"/>
        <v>0</v>
      </c>
      <c r="O996" s="868">
        <f t="shared" si="2674"/>
        <v>0</v>
      </c>
      <c r="P996" s="868">
        <f t="shared" si="2674"/>
        <v>0</v>
      </c>
      <c r="Q996" s="868">
        <f t="shared" si="2674"/>
        <v>0</v>
      </c>
      <c r="R996" s="868">
        <f t="shared" si="2674"/>
        <v>0</v>
      </c>
      <c r="S996" s="868">
        <f t="shared" si="2674"/>
        <v>0</v>
      </c>
      <c r="T996" s="868">
        <f t="shared" si="2674"/>
        <v>0</v>
      </c>
      <c r="U996" s="868">
        <f t="shared" si="2674"/>
        <v>0</v>
      </c>
      <c r="V996" s="868">
        <f t="shared" si="2674"/>
        <v>0</v>
      </c>
      <c r="W996" s="868">
        <f t="shared" si="2674"/>
        <v>0</v>
      </c>
      <c r="X996" s="868">
        <f t="shared" si="2674"/>
        <v>0</v>
      </c>
      <c r="Y996" s="868">
        <f t="shared" si="2674"/>
        <v>0</v>
      </c>
      <c r="Z996" s="868">
        <f t="shared" si="2674"/>
        <v>0</v>
      </c>
      <c r="AA996" s="868">
        <f t="shared" si="2674"/>
        <v>0</v>
      </c>
      <c r="AB996" s="868">
        <f t="shared" si="2674"/>
        <v>0</v>
      </c>
      <c r="AC996" s="868">
        <f t="shared" si="2674"/>
        <v>0</v>
      </c>
      <c r="AD996" s="868">
        <f t="shared" si="2674"/>
        <v>0</v>
      </c>
      <c r="AE996" s="868">
        <f t="shared" si="2674"/>
        <v>0</v>
      </c>
      <c r="AF996" s="868">
        <f t="shared" si="2674"/>
        <v>0</v>
      </c>
      <c r="AG996" s="868">
        <f t="shared" si="2674"/>
        <v>0</v>
      </c>
      <c r="AH996" s="868">
        <f t="shared" si="2674"/>
        <v>0</v>
      </c>
      <c r="AI996" s="868">
        <f t="shared" si="2674"/>
        <v>0</v>
      </c>
      <c r="AJ996" s="868">
        <f t="shared" si="2674"/>
        <v>0</v>
      </c>
      <c r="AK996" s="868">
        <f t="shared" si="2674"/>
        <v>0</v>
      </c>
      <c r="AL996" s="868">
        <f>ROUND(INDEX(MO_II_NetII,0,COLUMN())-INDEX(MO_RIS_NetII,0,COLUMN()),6)</f>
        <v>0</v>
      </c>
      <c r="AM996" s="868">
        <f>ROUND(INDEX(MO_II_NetII,0,COLUMN())-INDEX(MO_RIS_NetII,0,COLUMN()),6)</f>
        <v>0</v>
      </c>
      <c r="AN996" s="868">
        <f>ROUND(INDEX(MO_II_NetII,0,COLUMN())-INDEX(MO_RIS_NetII,0,COLUMN()),6)</f>
        <v>0</v>
      </c>
      <c r="AO996" s="868">
        <f t="shared" si="2674"/>
        <v>0</v>
      </c>
      <c r="AP996" s="868">
        <f t="shared" si="2674"/>
        <v>0</v>
      </c>
      <c r="AQ996" s="868">
        <f t="shared" si="2675" ref="AQ996:AV996">ROUND(INDEX(MO_II_NetII,0,COLUMN())-INDEX(MO_RIS_NetII,0,COLUMN()),6)</f>
        <v>0</v>
      </c>
      <c r="AR996" s="868">
        <f t="shared" si="2675"/>
        <v>0</v>
      </c>
      <c r="AS996" s="868">
        <f t="shared" si="2675"/>
        <v>0</v>
      </c>
      <c r="AT996" s="868">
        <f t="shared" si="2675"/>
        <v>0</v>
      </c>
      <c r="AU996" s="868">
        <f t="shared" si="2675"/>
        <v>0</v>
      </c>
      <c r="AV996" s="868">
        <f t="shared" si="2675"/>
        <v>0</v>
      </c>
      <c r="AW996" s="868">
        <f t="shared" si="2676" ref="AW996:BJ996">ROUND(INDEX(MO_II_NetII,0,COLUMN())-INDEX(MO_RIS_NetII,0,COLUMN()),6)</f>
        <v>0</v>
      </c>
      <c r="AX996" s="868">
        <f t="shared" si="2676"/>
        <v>0</v>
      </c>
      <c r="AY996" s="868">
        <f t="shared" si="2676"/>
        <v>0</v>
      </c>
      <c r="AZ996" s="868">
        <f t="shared" si="2676"/>
        <v>0</v>
      </c>
      <c r="BA996" s="868">
        <f t="shared" si="2677" ref="BA996:BI996">ROUND(INDEX(MO_II_NetII,0,COLUMN())-INDEX(MO_RIS_NetII,0,COLUMN()),6)</f>
        <v>0</v>
      </c>
      <c r="BB996" s="868">
        <f t="shared" si="2677"/>
        <v>0</v>
      </c>
      <c r="BC996" s="868">
        <f t="shared" si="2677"/>
        <v>0</v>
      </c>
      <c r="BD996" s="868">
        <f t="shared" si="2677"/>
        <v>0</v>
      </c>
      <c r="BE996" s="868">
        <f t="shared" si="2677"/>
        <v>0</v>
      </c>
      <c r="BF996" s="868">
        <f>ROUND(INDEX(MO_II_NetII,0,COLUMN())-INDEX(MO_RIS_NetII,0,COLUMN()),6)</f>
        <v>0</v>
      </c>
      <c r="BG996" s="868">
        <f>ROUND(INDEX(MO_II_NetII,0,COLUMN())-INDEX(MO_RIS_NetII,0,COLUMN()),6)</f>
        <v>0</v>
      </c>
      <c r="BH996" s="869">
        <f>ROUND(INDEX(MO_II_NetII,0,COLUMN())-INDEX(MO_RIS_NetII,0,COLUMN()),6)</f>
        <v>0</v>
      </c>
      <c r="BI996" s="868">
        <f t="shared" si="2677"/>
        <v>0</v>
      </c>
      <c r="BJ996" s="868">
        <f t="shared" si="2676"/>
        <v>0</v>
      </c>
      <c r="BK996" s="868">
        <f t="shared" si="2678" ref="BK996:BR996">ROUND(INDEX(MO_II_NetII,0,COLUMN())-INDEX(MO_RIS_NetII,0,COLUMN()),6)</f>
        <v>0</v>
      </c>
      <c r="BL996" s="868">
        <f t="shared" si="2678"/>
        <v>0</v>
      </c>
      <c r="BM996" s="868">
        <f t="shared" si="2678"/>
        <v>0</v>
      </c>
      <c r="BN996" s="868">
        <f t="shared" si="2678"/>
        <v>0</v>
      </c>
      <c r="BO996" s="868">
        <f t="shared" si="2678"/>
        <v>0</v>
      </c>
      <c r="BP996" s="868">
        <f t="shared" si="2678"/>
        <v>0</v>
      </c>
      <c r="BQ996" s="868">
        <f t="shared" si="2678"/>
        <v>0</v>
      </c>
      <c r="BR996" s="868">
        <f t="shared" si="2678"/>
        <v>0</v>
      </c>
      <c r="BS996" s="822"/>
    </row>
    <row r="997" spans="1:71" s="22" customFormat="1" ht="15">
      <c r="A997" s="822" t="s">
        <v>212</v>
      </c>
      <c r="B997" s="530"/>
      <c r="C997" s="868">
        <f t="shared" si="2679" ref="C997:AP997">ROUND(INDEX(MO_II_NetIG,0,COLUMN())-INDEX(MO_RIS_NetIG,0,COLUMN()),6)</f>
        <v>0</v>
      </c>
      <c r="D997" s="868">
        <f t="shared" si="2679"/>
        <v>0</v>
      </c>
      <c r="E997" s="868">
        <f t="shared" si="2679"/>
        <v>0</v>
      </c>
      <c r="F997" s="868">
        <f t="shared" si="2679"/>
        <v>0</v>
      </c>
      <c r="G997" s="868">
        <f t="shared" si="2679"/>
        <v>0</v>
      </c>
      <c r="H997" s="868">
        <f t="shared" si="2679"/>
        <v>0</v>
      </c>
      <c r="I997" s="868">
        <f t="shared" si="2679"/>
        <v>0</v>
      </c>
      <c r="J997" s="868">
        <f t="shared" si="2679"/>
        <v>0</v>
      </c>
      <c r="K997" s="868">
        <f t="shared" si="2679"/>
        <v>0</v>
      </c>
      <c r="L997" s="868">
        <f t="shared" si="2679"/>
        <v>0</v>
      </c>
      <c r="M997" s="868">
        <f t="shared" si="2679"/>
        <v>0</v>
      </c>
      <c r="N997" s="868">
        <f t="shared" si="2679"/>
        <v>0</v>
      </c>
      <c r="O997" s="868">
        <f t="shared" si="2679"/>
        <v>0</v>
      </c>
      <c r="P997" s="868">
        <f t="shared" si="2679"/>
        <v>0</v>
      </c>
      <c r="Q997" s="868">
        <f t="shared" si="2679"/>
        <v>0</v>
      </c>
      <c r="R997" s="868">
        <f t="shared" si="2679"/>
        <v>0</v>
      </c>
      <c r="S997" s="868">
        <f t="shared" si="2679"/>
        <v>0</v>
      </c>
      <c r="T997" s="868">
        <f t="shared" si="2679"/>
        <v>0</v>
      </c>
      <c r="U997" s="868">
        <f t="shared" si="2679"/>
        <v>0</v>
      </c>
      <c r="V997" s="868">
        <f t="shared" si="2679"/>
        <v>0</v>
      </c>
      <c r="W997" s="868">
        <f t="shared" si="2679"/>
        <v>0</v>
      </c>
      <c r="X997" s="868">
        <f t="shared" si="2679"/>
        <v>0</v>
      </c>
      <c r="Y997" s="868">
        <f t="shared" si="2679"/>
        <v>0</v>
      </c>
      <c r="Z997" s="868">
        <f t="shared" si="2679"/>
        <v>0</v>
      </c>
      <c r="AA997" s="868">
        <f t="shared" si="2679"/>
        <v>0</v>
      </c>
      <c r="AB997" s="868">
        <f t="shared" si="2679"/>
        <v>0</v>
      </c>
      <c r="AC997" s="868">
        <f t="shared" si="2679"/>
        <v>0</v>
      </c>
      <c r="AD997" s="868">
        <f t="shared" si="2679"/>
        <v>0</v>
      </c>
      <c r="AE997" s="868">
        <f t="shared" si="2679"/>
        <v>0</v>
      </c>
      <c r="AF997" s="868">
        <f t="shared" si="2679"/>
        <v>0</v>
      </c>
      <c r="AG997" s="868">
        <f t="shared" si="2679"/>
        <v>0</v>
      </c>
      <c r="AH997" s="868">
        <f t="shared" si="2679"/>
        <v>0</v>
      </c>
      <c r="AI997" s="868">
        <f t="shared" si="2679"/>
        <v>0</v>
      </c>
      <c r="AJ997" s="868">
        <f t="shared" si="2679"/>
        <v>0</v>
      </c>
      <c r="AK997" s="868">
        <f t="shared" si="2679"/>
        <v>0</v>
      </c>
      <c r="AL997" s="868">
        <f>ROUND(INDEX(MO_II_NetIG,0,COLUMN())-INDEX(MO_RIS_NetIG,0,COLUMN()),6)</f>
        <v>0</v>
      </c>
      <c r="AM997" s="868">
        <f>ROUND(INDEX(MO_II_NetIG,0,COLUMN())-INDEX(MO_RIS_NetIG,0,COLUMN()),6)</f>
        <v>0</v>
      </c>
      <c r="AN997" s="868">
        <f>ROUND(INDEX(MO_II_NetIG,0,COLUMN())-INDEX(MO_RIS_NetIG,0,COLUMN()),6)</f>
        <v>0</v>
      </c>
      <c r="AO997" s="868">
        <f t="shared" si="2679"/>
        <v>0</v>
      </c>
      <c r="AP997" s="868">
        <f t="shared" si="2679"/>
        <v>0</v>
      </c>
      <c r="AQ997" s="868">
        <f t="shared" si="2680" ref="AQ997:AV997">ROUND(INDEX(MO_II_NetIG,0,COLUMN())-INDEX(MO_RIS_NetIG,0,COLUMN()),6)</f>
        <v>0</v>
      </c>
      <c r="AR997" s="868">
        <f t="shared" si="2680"/>
        <v>0</v>
      </c>
      <c r="AS997" s="868">
        <f t="shared" si="2680"/>
        <v>0</v>
      </c>
      <c r="AT997" s="868">
        <f t="shared" si="2680"/>
        <v>0</v>
      </c>
      <c r="AU997" s="868">
        <f t="shared" si="2680"/>
        <v>0</v>
      </c>
      <c r="AV997" s="868">
        <f t="shared" si="2680"/>
        <v>0</v>
      </c>
      <c r="AW997" s="868">
        <f t="shared" si="2681" ref="AW997:BJ997">ROUND(INDEX(MO_II_NetIG,0,COLUMN())-INDEX(MO_RIS_NetIG,0,COLUMN()),6)</f>
        <v>0</v>
      </c>
      <c r="AX997" s="868">
        <f t="shared" si="2681"/>
        <v>0</v>
      </c>
      <c r="AY997" s="868">
        <f t="shared" si="2681"/>
        <v>0</v>
      </c>
      <c r="AZ997" s="868">
        <f t="shared" si="2681"/>
        <v>0</v>
      </c>
      <c r="BA997" s="868">
        <f t="shared" si="2682" ref="BA997:BI997">ROUND(INDEX(MO_II_NetIG,0,COLUMN())-INDEX(MO_RIS_NetIG,0,COLUMN()),6)</f>
        <v>0</v>
      </c>
      <c r="BB997" s="868">
        <f t="shared" si="2682"/>
        <v>0</v>
      </c>
      <c r="BC997" s="868">
        <f t="shared" si="2682"/>
        <v>0</v>
      </c>
      <c r="BD997" s="868">
        <f t="shared" si="2682"/>
        <v>0</v>
      </c>
      <c r="BE997" s="868">
        <f t="shared" si="2682"/>
        <v>0</v>
      </c>
      <c r="BF997" s="868">
        <f>ROUND(INDEX(MO_II_NetIG,0,COLUMN())-INDEX(MO_RIS_NetIG,0,COLUMN()),6)</f>
        <v>0</v>
      </c>
      <c r="BG997" s="868">
        <f>ROUND(INDEX(MO_II_NetIG,0,COLUMN())-INDEX(MO_RIS_NetIG,0,COLUMN()),6)</f>
        <v>0</v>
      </c>
      <c r="BH997" s="869">
        <f>ROUND(INDEX(MO_II_NetIG,0,COLUMN())-INDEX(MO_RIS_NetIG,0,COLUMN()),6)</f>
        <v>0</v>
      </c>
      <c r="BI997" s="868">
        <f t="shared" si="2682"/>
        <v>0</v>
      </c>
      <c r="BJ997" s="868">
        <f t="shared" si="2681"/>
        <v>0</v>
      </c>
      <c r="BK997" s="868">
        <f t="shared" si="2683" ref="BK997:BR997">ROUND(INDEX(MO_II_NetIG,0,COLUMN())-INDEX(MO_RIS_NetIG,0,COLUMN()),6)</f>
        <v>0</v>
      </c>
      <c r="BL997" s="868">
        <f t="shared" si="2683"/>
        <v>0</v>
      </c>
      <c r="BM997" s="868">
        <f t="shared" si="2683"/>
        <v>0</v>
      </c>
      <c r="BN997" s="868">
        <f t="shared" si="2683"/>
        <v>0</v>
      </c>
      <c r="BO997" s="868">
        <f t="shared" si="2683"/>
        <v>0</v>
      </c>
      <c r="BP997" s="868">
        <f t="shared" si="2683"/>
        <v>0</v>
      </c>
      <c r="BQ997" s="868">
        <f t="shared" si="2683"/>
        <v>0</v>
      </c>
      <c r="BR997" s="868">
        <f t="shared" si="2683"/>
        <v>0</v>
      </c>
      <c r="BS997" s="822"/>
    </row>
    <row r="998" spans="1:71" s="22" customFormat="1" ht="15">
      <c r="A998" s="822" t="s">
        <v>213</v>
      </c>
      <c r="B998" s="530"/>
      <c r="C998" s="868">
        <f t="shared" si="2684" ref="C998:AP998">ROUND(INDEX(MO_UI_UnderwritingExpense,0,COLUMN())-INDEX(MO_UI_Loss,0,COLUMN())-INDEX(MO_UI_OOE,0,COLUMN()),6)</f>
        <v>0</v>
      </c>
      <c r="D998" s="868">
        <f t="shared" si="2684"/>
        <v>0</v>
      </c>
      <c r="E998" s="868">
        <f t="shared" si="2684"/>
        <v>0</v>
      </c>
      <c r="F998" s="868">
        <f t="shared" si="2684"/>
        <v>0</v>
      </c>
      <c r="G998" s="868">
        <f t="shared" si="2684"/>
        <v>0</v>
      </c>
      <c r="H998" s="868">
        <f t="shared" si="2684"/>
        <v>0</v>
      </c>
      <c r="I998" s="868">
        <f t="shared" si="2684"/>
        <v>0</v>
      </c>
      <c r="J998" s="868">
        <f t="shared" si="2684"/>
        <v>0</v>
      </c>
      <c r="K998" s="868">
        <f t="shared" si="2684"/>
        <v>0</v>
      </c>
      <c r="L998" s="868">
        <f t="shared" si="2684"/>
        <v>0</v>
      </c>
      <c r="M998" s="868">
        <f t="shared" si="2684"/>
        <v>0</v>
      </c>
      <c r="N998" s="868">
        <f t="shared" si="2684"/>
        <v>0</v>
      </c>
      <c r="O998" s="868">
        <f t="shared" si="2684"/>
        <v>0</v>
      </c>
      <c r="P998" s="868">
        <f t="shared" si="2684"/>
        <v>0</v>
      </c>
      <c r="Q998" s="868">
        <f t="shared" si="2684"/>
        <v>0</v>
      </c>
      <c r="R998" s="868">
        <f t="shared" si="2684"/>
        <v>0</v>
      </c>
      <c r="S998" s="868">
        <f t="shared" si="2684"/>
        <v>0</v>
      </c>
      <c r="T998" s="868">
        <f t="shared" si="2684"/>
        <v>0</v>
      </c>
      <c r="U998" s="868">
        <f t="shared" si="2684"/>
        <v>0</v>
      </c>
      <c r="V998" s="868">
        <f t="shared" si="2684"/>
        <v>0</v>
      </c>
      <c r="W998" s="868">
        <f t="shared" si="2684"/>
        <v>0</v>
      </c>
      <c r="X998" s="868">
        <f t="shared" si="2684"/>
        <v>0</v>
      </c>
      <c r="Y998" s="868">
        <f t="shared" si="2684"/>
        <v>0</v>
      </c>
      <c r="Z998" s="868">
        <f t="shared" si="2684"/>
        <v>0</v>
      </c>
      <c r="AA998" s="868">
        <f t="shared" si="2684"/>
        <v>0</v>
      </c>
      <c r="AB998" s="868">
        <f t="shared" si="2684"/>
        <v>0</v>
      </c>
      <c r="AC998" s="868">
        <f t="shared" si="2684"/>
        <v>0</v>
      </c>
      <c r="AD998" s="868">
        <f t="shared" si="2684"/>
        <v>0</v>
      </c>
      <c r="AE998" s="868">
        <f t="shared" si="2684"/>
        <v>0</v>
      </c>
      <c r="AF998" s="868">
        <f t="shared" si="2684"/>
        <v>0</v>
      </c>
      <c r="AG998" s="868">
        <f t="shared" si="2684"/>
        <v>0</v>
      </c>
      <c r="AH998" s="868">
        <f t="shared" si="2684"/>
        <v>0</v>
      </c>
      <c r="AI998" s="868">
        <f t="shared" si="2684"/>
        <v>0</v>
      </c>
      <c r="AJ998" s="868">
        <f t="shared" si="2684"/>
        <v>0</v>
      </c>
      <c r="AK998" s="868">
        <f t="shared" si="2684"/>
        <v>0</v>
      </c>
      <c r="AL998" s="868">
        <f t="shared" si="2684"/>
        <v>0</v>
      </c>
      <c r="AM998" s="868">
        <f>ROUND(INDEX(MO_UI_UnderwritingExpense,0,COLUMN())-INDEX(MO_UI_Loss,0,COLUMN())-INDEX(MO_UI_OOE,0,COLUMN()),6)</f>
        <v>0</v>
      </c>
      <c r="AN998" s="868">
        <f>ROUND(INDEX(MO_UI_UnderwritingExpense,0,COLUMN())-INDEX(MO_UI_Loss,0,COLUMN())-INDEX(MO_UI_OOE,0,COLUMN()),6)</f>
        <v>0</v>
      </c>
      <c r="AO998" s="868">
        <f t="shared" si="2684"/>
        <v>0</v>
      </c>
      <c r="AP998" s="868">
        <f t="shared" si="2684"/>
        <v>0</v>
      </c>
      <c r="AQ998" s="868">
        <f t="shared" si="2685" ref="AQ998:AV998">ROUND(INDEX(MO_UI_UnderwritingExpense,0,COLUMN())-INDEX(MO_UI_Loss,0,COLUMN())-INDEX(MO_UI_OOE,0,COLUMN()),6)</f>
        <v>0</v>
      </c>
      <c r="AR998" s="868">
        <f t="shared" si="2685"/>
        <v>0</v>
      </c>
      <c r="AS998" s="868">
        <f t="shared" si="2685"/>
        <v>0</v>
      </c>
      <c r="AT998" s="868">
        <f t="shared" si="2685"/>
        <v>0</v>
      </c>
      <c r="AU998" s="868">
        <f t="shared" si="2685"/>
        <v>0</v>
      </c>
      <c r="AV998" s="868">
        <f t="shared" si="2685"/>
        <v>0</v>
      </c>
      <c r="AW998" s="868">
        <f t="shared" si="2686" ref="AW998:BJ998">ROUND(INDEX(MO_UI_UnderwritingExpense,0,COLUMN())-INDEX(MO_UI_Loss,0,COLUMN())-INDEX(MO_UI_OOE,0,COLUMN()),6)</f>
        <v>0</v>
      </c>
      <c r="AX998" s="868">
        <f t="shared" si="2686"/>
        <v>0</v>
      </c>
      <c r="AY998" s="868">
        <f t="shared" si="2686"/>
        <v>0</v>
      </c>
      <c r="AZ998" s="868">
        <f t="shared" si="2686"/>
        <v>0</v>
      </c>
      <c r="BA998" s="868">
        <f t="shared" si="2687" ref="BA998:BI998">ROUND(INDEX(MO_UI_UnderwritingExpense,0,COLUMN())-INDEX(MO_UI_Loss,0,COLUMN())-INDEX(MO_UI_OOE,0,COLUMN()),6)</f>
        <v>0</v>
      </c>
      <c r="BB998" s="868">
        <f t="shared" si="2687"/>
        <v>0</v>
      </c>
      <c r="BC998" s="868">
        <f t="shared" si="2687"/>
        <v>0</v>
      </c>
      <c r="BD998" s="868">
        <f t="shared" si="2687"/>
        <v>0</v>
      </c>
      <c r="BE998" s="868">
        <f t="shared" si="2687"/>
        <v>0</v>
      </c>
      <c r="BF998" s="868">
        <f>ROUND(INDEX(MO_UI_UnderwritingExpense,0,COLUMN())-INDEX(MO_UI_Loss,0,COLUMN())-INDEX(MO_UI_OOE,0,COLUMN()),6)</f>
        <v>0</v>
      </c>
      <c r="BG998" s="868">
        <f>ROUND(INDEX(MO_UI_UnderwritingExpense,0,COLUMN())-INDEX(MO_UI_Loss,0,COLUMN())-INDEX(MO_UI_OOE,0,COLUMN()),6)</f>
        <v>0</v>
      </c>
      <c r="BH998" s="869">
        <f>ROUND(INDEX(MO_UI_UnderwritingExpense,0,COLUMN())-INDEX(MO_UI_Loss,0,COLUMN())-INDEX(MO_UI_OOE,0,COLUMN()),6)</f>
        <v>0</v>
      </c>
      <c r="BI998" s="868">
        <f t="shared" si="2687"/>
        <v>0</v>
      </c>
      <c r="BJ998" s="868">
        <f t="shared" si="2686"/>
        <v>0</v>
      </c>
      <c r="BK998" s="868">
        <f t="shared" si="2688" ref="BK998:BR998">ROUND(INDEX(MO_UI_UnderwritingExpense,0,COLUMN())-INDEX(MO_UI_Loss,0,COLUMN())-INDEX(MO_UI_OOE,0,COLUMN()),6)</f>
        <v>0</v>
      </c>
      <c r="BL998" s="868">
        <f t="shared" si="2688"/>
        <v>0</v>
      </c>
      <c r="BM998" s="868">
        <f t="shared" si="2688"/>
        <v>0</v>
      </c>
      <c r="BN998" s="868">
        <f t="shared" si="2688"/>
        <v>0</v>
      </c>
      <c r="BO998" s="868">
        <f t="shared" si="2688"/>
        <v>0</v>
      </c>
      <c r="BP998" s="868">
        <f t="shared" si="2688"/>
        <v>0</v>
      </c>
      <c r="BQ998" s="868">
        <f t="shared" si="2688"/>
        <v>0</v>
      </c>
      <c r="BR998" s="868">
        <f t="shared" si="2688"/>
        <v>0</v>
      </c>
      <c r="BS998" s="822"/>
    </row>
    <row r="999" spans="1:71" s="22" customFormat="1" ht="15">
      <c r="A999" s="413" t="s">
        <v>616</v>
      </c>
      <c r="B999" s="530"/>
      <c r="C999" s="868">
        <f t="shared" si="2689" ref="C999:AH999">ROUND(INDEX(MO_II_EndInvestments,0,COLUMN())-C949,6)</f>
        <v>0</v>
      </c>
      <c r="D999" s="868">
        <f t="shared" si="2689"/>
        <v>0</v>
      </c>
      <c r="E999" s="868">
        <f t="shared" si="2689"/>
        <v>0</v>
      </c>
      <c r="F999" s="868">
        <f t="shared" si="2689"/>
        <v>0</v>
      </c>
      <c r="G999" s="868">
        <f t="shared" si="2689"/>
        <v>0</v>
      </c>
      <c r="H999" s="868">
        <f t="shared" si="2689"/>
        <v>0</v>
      </c>
      <c r="I999" s="868">
        <f t="shared" si="2689"/>
        <v>0</v>
      </c>
      <c r="J999" s="868">
        <f t="shared" si="2689"/>
        <v>0</v>
      </c>
      <c r="K999" s="868">
        <f t="shared" si="2689"/>
        <v>0</v>
      </c>
      <c r="L999" s="868">
        <f t="shared" si="2689"/>
        <v>0</v>
      </c>
      <c r="M999" s="868">
        <f t="shared" si="2689"/>
        <v>0</v>
      </c>
      <c r="N999" s="868">
        <f t="shared" si="2689"/>
        <v>0</v>
      </c>
      <c r="O999" s="868">
        <f t="shared" si="2689"/>
        <v>0</v>
      </c>
      <c r="P999" s="868">
        <f t="shared" si="2689"/>
        <v>0</v>
      </c>
      <c r="Q999" s="868">
        <f t="shared" si="2689"/>
        <v>0</v>
      </c>
      <c r="R999" s="868">
        <f t="shared" si="2689"/>
        <v>0</v>
      </c>
      <c r="S999" s="868">
        <f t="shared" si="2689"/>
        <v>0</v>
      </c>
      <c r="T999" s="868">
        <f t="shared" si="2689"/>
        <v>0</v>
      </c>
      <c r="U999" s="868">
        <f t="shared" si="2689"/>
        <v>0</v>
      </c>
      <c r="V999" s="868">
        <f t="shared" si="2689"/>
        <v>0</v>
      </c>
      <c r="W999" s="868">
        <f t="shared" si="2689"/>
        <v>0</v>
      </c>
      <c r="X999" s="868">
        <f t="shared" si="2689"/>
        <v>0</v>
      </c>
      <c r="Y999" s="868">
        <f t="shared" si="2689"/>
        <v>0</v>
      </c>
      <c r="Z999" s="868">
        <f t="shared" si="2689"/>
        <v>0</v>
      </c>
      <c r="AA999" s="868">
        <f t="shared" si="2689"/>
        <v>0</v>
      </c>
      <c r="AB999" s="868">
        <f t="shared" si="2689"/>
        <v>0</v>
      </c>
      <c r="AC999" s="868">
        <f t="shared" si="2689"/>
        <v>0</v>
      </c>
      <c r="AD999" s="868">
        <f t="shared" si="2689"/>
        <v>0</v>
      </c>
      <c r="AE999" s="868">
        <f t="shared" si="2689"/>
        <v>0</v>
      </c>
      <c r="AF999" s="868">
        <f t="shared" si="2689"/>
        <v>0</v>
      </c>
      <c r="AG999" s="868">
        <f t="shared" si="2689"/>
        <v>0</v>
      </c>
      <c r="AH999" s="868">
        <f t="shared" si="2689"/>
        <v>0</v>
      </c>
      <c r="AI999" s="868">
        <f t="shared" si="2690" ref="AI999:BR999">ROUND(INDEX(MO_II_EndInvestments,0,COLUMN())-AI949,6)</f>
        <v>0</v>
      </c>
      <c r="AJ999" s="868">
        <f t="shared" si="2690"/>
        <v>0</v>
      </c>
      <c r="AK999" s="868">
        <f t="shared" si="2690"/>
        <v>0</v>
      </c>
      <c r="AL999" s="868">
        <f t="shared" si="2690"/>
        <v>0</v>
      </c>
      <c r="AM999" s="868">
        <f t="shared" si="2690"/>
        <v>0</v>
      </c>
      <c r="AN999" s="868">
        <f t="shared" si="2690"/>
        <v>0</v>
      </c>
      <c r="AO999" s="868">
        <f t="shared" si="2690"/>
        <v>0</v>
      </c>
      <c r="AP999" s="868">
        <f t="shared" si="2690"/>
        <v>0</v>
      </c>
      <c r="AQ999" s="868">
        <f t="shared" si="2690"/>
        <v>0</v>
      </c>
      <c r="AR999" s="868">
        <f t="shared" si="2690"/>
        <v>0</v>
      </c>
      <c r="AS999" s="868">
        <f t="shared" si="2690"/>
        <v>0</v>
      </c>
      <c r="AT999" s="868">
        <f t="shared" si="2690"/>
        <v>0</v>
      </c>
      <c r="AU999" s="868">
        <f t="shared" si="2690"/>
        <v>0</v>
      </c>
      <c r="AV999" s="868">
        <f t="shared" si="2690"/>
        <v>0</v>
      </c>
      <c r="AW999" s="868">
        <f t="shared" si="2690"/>
        <v>0</v>
      </c>
      <c r="AX999" s="868">
        <f t="shared" si="2690"/>
        <v>0</v>
      </c>
      <c r="AY999" s="868">
        <f t="shared" si="2690"/>
        <v>0</v>
      </c>
      <c r="AZ999" s="868">
        <f t="shared" si="2690"/>
        <v>0</v>
      </c>
      <c r="BA999" s="868">
        <f t="shared" si="2690"/>
        <v>0</v>
      </c>
      <c r="BB999" s="868">
        <f t="shared" si="2690"/>
        <v>0</v>
      </c>
      <c r="BC999" s="868">
        <f t="shared" si="2690"/>
        <v>0</v>
      </c>
      <c r="BD999" s="868">
        <f t="shared" si="2690"/>
        <v>0</v>
      </c>
      <c r="BE999" s="868">
        <f t="shared" si="2690"/>
        <v>0</v>
      </c>
      <c r="BF999" s="868">
        <f t="shared" si="2690"/>
        <v>0</v>
      </c>
      <c r="BG999" s="868">
        <f t="shared" si="2690"/>
        <v>0</v>
      </c>
      <c r="BH999" s="869">
        <f t="shared" si="2690"/>
        <v>0</v>
      </c>
      <c r="BI999" s="868">
        <f t="shared" si="2690"/>
        <v>0</v>
      </c>
      <c r="BJ999" s="868">
        <f t="shared" si="2690"/>
        <v>0</v>
      </c>
      <c r="BK999" s="868">
        <f t="shared" si="2690"/>
        <v>0</v>
      </c>
      <c r="BL999" s="868">
        <f t="shared" si="2690"/>
        <v>0</v>
      </c>
      <c r="BM999" s="868">
        <f t="shared" si="2690"/>
        <v>0</v>
      </c>
      <c r="BN999" s="868">
        <f t="shared" si="2690"/>
        <v>0</v>
      </c>
      <c r="BO999" s="868">
        <f t="shared" si="2690"/>
        <v>0</v>
      </c>
      <c r="BP999" s="868">
        <f t="shared" si="2690"/>
        <v>0</v>
      </c>
      <c r="BQ999" s="868">
        <f t="shared" si="2690"/>
        <v>0</v>
      </c>
      <c r="BR999" s="868">
        <f t="shared" si="2690"/>
        <v>0</v>
      </c>
      <c r="BS999" s="822"/>
    </row>
    <row r="1000" spans="1:71" s="22" customFormat="1" ht="15">
      <c r="A1000" s="822" t="s">
        <v>214</v>
      </c>
      <c r="B1000" s="530"/>
      <c r="C1000" s="868">
        <f t="shared" si="2691" ref="C1000:AL1000">ROUND(INDEX(MO_LR_GLR,0,COLUMN())-C965-C964,6)</f>
        <v>0</v>
      </c>
      <c r="D1000" s="868">
        <f t="shared" si="2691"/>
        <v>0</v>
      </c>
      <c r="E1000" s="868">
        <f t="shared" si="2691"/>
        <v>0</v>
      </c>
      <c r="F1000" s="868">
        <f t="shared" si="2691"/>
        <v>0</v>
      </c>
      <c r="G1000" s="868">
        <f t="shared" si="2691"/>
        <v>0</v>
      </c>
      <c r="H1000" s="868">
        <f t="shared" si="2691"/>
        <v>0</v>
      </c>
      <c r="I1000" s="868">
        <f t="shared" si="2691"/>
        <v>0</v>
      </c>
      <c r="J1000" s="868">
        <f t="shared" si="2691"/>
        <v>0</v>
      </c>
      <c r="K1000" s="868">
        <f t="shared" si="2691"/>
        <v>0</v>
      </c>
      <c r="L1000" s="868">
        <f t="shared" si="2691"/>
        <v>0</v>
      </c>
      <c r="M1000" s="868">
        <f t="shared" si="2691"/>
        <v>0</v>
      </c>
      <c r="N1000" s="868">
        <f t="shared" si="2691"/>
        <v>0</v>
      </c>
      <c r="O1000" s="868">
        <f t="shared" si="2691"/>
        <v>0</v>
      </c>
      <c r="P1000" s="868">
        <f t="shared" si="2691"/>
        <v>0</v>
      </c>
      <c r="Q1000" s="868">
        <f t="shared" si="2691"/>
        <v>0</v>
      </c>
      <c r="R1000" s="868">
        <f t="shared" si="2691"/>
        <v>0</v>
      </c>
      <c r="S1000" s="868">
        <f t="shared" si="2691"/>
        <v>0</v>
      </c>
      <c r="T1000" s="868">
        <f t="shared" si="2691"/>
        <v>0</v>
      </c>
      <c r="U1000" s="868">
        <f t="shared" si="2691"/>
        <v>0</v>
      </c>
      <c r="V1000" s="868">
        <f t="shared" si="2691"/>
        <v>0</v>
      </c>
      <c r="W1000" s="868">
        <f t="shared" si="2691"/>
        <v>0</v>
      </c>
      <c r="X1000" s="868">
        <f t="shared" si="2691"/>
        <v>0</v>
      </c>
      <c r="Y1000" s="868">
        <f t="shared" si="2691"/>
        <v>0</v>
      </c>
      <c r="Z1000" s="868">
        <f t="shared" si="2691"/>
        <v>0</v>
      </c>
      <c r="AA1000" s="868">
        <f t="shared" si="2691"/>
        <v>0</v>
      </c>
      <c r="AB1000" s="868">
        <f t="shared" si="2691"/>
        <v>0</v>
      </c>
      <c r="AC1000" s="868">
        <f t="shared" si="2691"/>
        <v>0</v>
      </c>
      <c r="AD1000" s="868">
        <f t="shared" si="2691"/>
        <v>0</v>
      </c>
      <c r="AE1000" s="868">
        <f t="shared" si="2691"/>
        <v>0</v>
      </c>
      <c r="AF1000" s="868">
        <f t="shared" si="2691"/>
        <v>0</v>
      </c>
      <c r="AG1000" s="868">
        <f t="shared" si="2691"/>
        <v>0</v>
      </c>
      <c r="AH1000" s="868">
        <f t="shared" si="2691"/>
        <v>0</v>
      </c>
      <c r="AI1000" s="868">
        <f t="shared" si="2691"/>
        <v>0</v>
      </c>
      <c r="AJ1000" s="868">
        <f t="shared" si="2691"/>
        <v>0</v>
      </c>
      <c r="AK1000" s="868">
        <f t="shared" si="2691"/>
        <v>0</v>
      </c>
      <c r="AL1000" s="868">
        <f t="shared" si="2691"/>
        <v>0</v>
      </c>
      <c r="AM1000" s="868">
        <f>ROUND(INDEX(MO_LR_GLR,0,COLUMN())-AM965-AM964,6)</f>
        <v>0</v>
      </c>
      <c r="AN1000" s="868">
        <f>ROUND(INDEX(MO_LR_GLR,0,COLUMN())-AN965-AN964,6)</f>
        <v>0</v>
      </c>
      <c r="AO1000" s="868">
        <f t="shared" si="2692" ref="AO1000:AP1000">ROUND(INDEX(MO_LR_GLR,0,COLUMN())-AO965-AO964,6)</f>
        <v>0</v>
      </c>
      <c r="AP1000" s="868">
        <f t="shared" si="2692"/>
        <v>0</v>
      </c>
      <c r="AQ1000" s="868">
        <f t="shared" si="2693" ref="AQ1000:AV1000">ROUND(INDEX(MO_LR_GLR,0,COLUMN())-AQ965-AQ964,6)</f>
        <v>0</v>
      </c>
      <c r="AR1000" s="868">
        <f t="shared" si="2693"/>
        <v>0</v>
      </c>
      <c r="AS1000" s="868">
        <f t="shared" si="2693"/>
        <v>0</v>
      </c>
      <c r="AT1000" s="868">
        <f t="shared" si="2693"/>
        <v>0</v>
      </c>
      <c r="AU1000" s="868">
        <f t="shared" si="2693"/>
        <v>0</v>
      </c>
      <c r="AV1000" s="868">
        <f t="shared" si="2693"/>
        <v>0</v>
      </c>
      <c r="AW1000" s="868">
        <f t="shared" si="2694" ref="AW1000:BB1000">ROUND(INDEX(MO_LR_GLR,0,COLUMN())-AW965-AW964,6)</f>
        <v>0</v>
      </c>
      <c r="AX1000" s="868">
        <f t="shared" si="2694"/>
        <v>0</v>
      </c>
      <c r="AY1000" s="868">
        <f t="shared" si="2694"/>
        <v>0</v>
      </c>
      <c r="AZ1000" s="868">
        <f t="shared" si="2694"/>
        <v>0</v>
      </c>
      <c r="BA1000" s="868">
        <f t="shared" si="2694"/>
        <v>0</v>
      </c>
      <c r="BB1000" s="868">
        <f t="shared" si="2694"/>
        <v>0</v>
      </c>
      <c r="BC1000" s="868">
        <f t="shared" si="2695" ref="BC1000:BH1000">ROUND(INDEX(MO_LR_GLR,0,COLUMN())-BC965-BC964,6)</f>
        <v>0</v>
      </c>
      <c r="BD1000" s="868">
        <f t="shared" si="2695"/>
        <v>0</v>
      </c>
      <c r="BE1000" s="868">
        <f t="shared" si="2695"/>
        <v>0</v>
      </c>
      <c r="BF1000" s="868">
        <f t="shared" si="2695"/>
        <v>0</v>
      </c>
      <c r="BG1000" s="868">
        <f t="shared" si="2695"/>
        <v>0</v>
      </c>
      <c r="BH1000" s="869">
        <f t="shared" si="2695"/>
        <v>0</v>
      </c>
      <c r="BI1000" s="868"/>
      <c r="BJ1000" s="868"/>
      <c r="BK1000" s="868"/>
      <c r="BL1000" s="868"/>
      <c r="BM1000" s="868"/>
      <c r="BN1000" s="868"/>
      <c r="BO1000" s="868"/>
      <c r="BP1000" s="868"/>
      <c r="BQ1000" s="868"/>
      <c r="BR1000" s="868"/>
      <c r="BS1000" s="822"/>
    </row>
    <row r="1001" spans="1:71" s="22" customFormat="1" ht="15">
      <c r="A1001" s="822" t="s">
        <v>215</v>
      </c>
      <c r="B1001" s="530"/>
      <c r="C1001" s="868">
        <f t="shared" si="2696" ref="C1001:AH1001">ROUND(INDEX(MO_LR_RR,0,COLUMN())-C953,6)</f>
        <v>0</v>
      </c>
      <c r="D1001" s="868">
        <f t="shared" si="2696"/>
        <v>0</v>
      </c>
      <c r="E1001" s="868">
        <f t="shared" si="2696"/>
        <v>0</v>
      </c>
      <c r="F1001" s="868">
        <f t="shared" si="2696"/>
        <v>0</v>
      </c>
      <c r="G1001" s="868">
        <f t="shared" si="2696"/>
        <v>0</v>
      </c>
      <c r="H1001" s="868">
        <f t="shared" si="2696"/>
        <v>0</v>
      </c>
      <c r="I1001" s="868">
        <f t="shared" si="2696"/>
        <v>0</v>
      </c>
      <c r="J1001" s="868">
        <f t="shared" si="2696"/>
        <v>0</v>
      </c>
      <c r="K1001" s="868">
        <f t="shared" si="2696"/>
        <v>0</v>
      </c>
      <c r="L1001" s="868">
        <f t="shared" si="2696"/>
        <v>0</v>
      </c>
      <c r="M1001" s="868">
        <f t="shared" si="2696"/>
        <v>0</v>
      </c>
      <c r="N1001" s="868">
        <f t="shared" si="2696"/>
        <v>0</v>
      </c>
      <c r="O1001" s="868">
        <f t="shared" si="2696"/>
        <v>0</v>
      </c>
      <c r="P1001" s="868">
        <f t="shared" si="2696"/>
        <v>0</v>
      </c>
      <c r="Q1001" s="868">
        <f t="shared" si="2696"/>
        <v>0</v>
      </c>
      <c r="R1001" s="868">
        <f t="shared" si="2696"/>
        <v>0</v>
      </c>
      <c r="S1001" s="868">
        <f t="shared" si="2696"/>
        <v>0</v>
      </c>
      <c r="T1001" s="868">
        <f t="shared" si="2696"/>
        <v>0</v>
      </c>
      <c r="U1001" s="868">
        <f t="shared" si="2696"/>
        <v>0</v>
      </c>
      <c r="V1001" s="868">
        <f t="shared" si="2696"/>
        <v>0</v>
      </c>
      <c r="W1001" s="868">
        <f t="shared" si="2696"/>
        <v>0</v>
      </c>
      <c r="X1001" s="868">
        <f t="shared" si="2696"/>
        <v>0</v>
      </c>
      <c r="Y1001" s="868">
        <f t="shared" si="2696"/>
        <v>0</v>
      </c>
      <c r="Z1001" s="868">
        <f t="shared" si="2696"/>
        <v>0</v>
      </c>
      <c r="AA1001" s="868">
        <f t="shared" si="2696"/>
        <v>0</v>
      </c>
      <c r="AB1001" s="868">
        <f t="shared" si="2696"/>
        <v>0</v>
      </c>
      <c r="AC1001" s="868">
        <f t="shared" si="2696"/>
        <v>0</v>
      </c>
      <c r="AD1001" s="868">
        <f t="shared" si="2696"/>
        <v>0</v>
      </c>
      <c r="AE1001" s="868">
        <f t="shared" si="2696"/>
        <v>0</v>
      </c>
      <c r="AF1001" s="868">
        <f t="shared" si="2696"/>
        <v>0</v>
      </c>
      <c r="AG1001" s="868">
        <f t="shared" si="2696"/>
        <v>0</v>
      </c>
      <c r="AH1001" s="868">
        <f t="shared" si="2696"/>
        <v>0</v>
      </c>
      <c r="AI1001" s="868">
        <f t="shared" si="2697" ref="AI1001:BH1001">ROUND(INDEX(MO_LR_RR,0,COLUMN())-AI953,6)</f>
        <v>0</v>
      </c>
      <c r="AJ1001" s="868">
        <f t="shared" si="2697"/>
        <v>0</v>
      </c>
      <c r="AK1001" s="868">
        <f t="shared" si="2697"/>
        <v>0</v>
      </c>
      <c r="AL1001" s="868">
        <f t="shared" si="2697"/>
        <v>0</v>
      </c>
      <c r="AM1001" s="868">
        <f t="shared" si="2697"/>
        <v>0</v>
      </c>
      <c r="AN1001" s="868">
        <f t="shared" si="2697"/>
        <v>0</v>
      </c>
      <c r="AO1001" s="868">
        <f t="shared" si="2697"/>
        <v>0</v>
      </c>
      <c r="AP1001" s="868">
        <f t="shared" si="2697"/>
        <v>0</v>
      </c>
      <c r="AQ1001" s="868">
        <f t="shared" si="2697"/>
        <v>0</v>
      </c>
      <c r="AR1001" s="868">
        <f t="shared" si="2697"/>
        <v>0</v>
      </c>
      <c r="AS1001" s="868">
        <f t="shared" si="2697"/>
        <v>0</v>
      </c>
      <c r="AT1001" s="868">
        <f t="shared" si="2697"/>
        <v>0</v>
      </c>
      <c r="AU1001" s="868">
        <f t="shared" si="2697"/>
        <v>0</v>
      </c>
      <c r="AV1001" s="868">
        <f t="shared" si="2697"/>
        <v>0</v>
      </c>
      <c r="AW1001" s="868">
        <f t="shared" si="2697"/>
        <v>0</v>
      </c>
      <c r="AX1001" s="868">
        <f t="shared" si="2697"/>
        <v>0</v>
      </c>
      <c r="AY1001" s="868">
        <f t="shared" si="2697"/>
        <v>0</v>
      </c>
      <c r="AZ1001" s="868">
        <f t="shared" si="2697"/>
        <v>0</v>
      </c>
      <c r="BA1001" s="868">
        <f t="shared" si="2697"/>
        <v>0</v>
      </c>
      <c r="BB1001" s="868">
        <f t="shared" si="2697"/>
        <v>0</v>
      </c>
      <c r="BC1001" s="868">
        <f t="shared" si="2697"/>
        <v>0</v>
      </c>
      <c r="BD1001" s="868">
        <f t="shared" si="2697"/>
        <v>0</v>
      </c>
      <c r="BE1001" s="868">
        <f t="shared" si="2697"/>
        <v>0</v>
      </c>
      <c r="BF1001" s="868">
        <f t="shared" si="2697"/>
        <v>0</v>
      </c>
      <c r="BG1001" s="868">
        <f t="shared" si="2697"/>
        <v>0</v>
      </c>
      <c r="BH1001" s="869">
        <f t="shared" si="2697"/>
        <v>0</v>
      </c>
      <c r="BI1001" s="868"/>
      <c r="BJ1001" s="868"/>
      <c r="BK1001" s="868"/>
      <c r="BL1001" s="868"/>
      <c r="BM1001" s="868"/>
      <c r="BN1001" s="868"/>
      <c r="BO1001" s="868"/>
      <c r="BP1001" s="868"/>
      <c r="BQ1001" s="868"/>
      <c r="BR1001" s="868"/>
      <c r="BS1001" s="822"/>
    </row>
    <row r="1002" spans="1:71" s="22" customFormat="1" ht="15">
      <c r="A1002" s="822" t="s">
        <v>216</v>
      </c>
      <c r="B1002" s="530"/>
      <c r="C1002" s="868">
        <f t="shared" si="2698" ref="C1002:AH1002">ROUND(INDEX(MO_BSS_NTR,0,COLUMN())-INDEX(MO_UPR_NUPR,0,COLUMN())-INDEX(MO_LR_NLR,0,COLUMN()),5)</f>
        <v>0</v>
      </c>
      <c r="D1002" s="868">
        <f t="shared" si="2698"/>
        <v>0</v>
      </c>
      <c r="E1002" s="868">
        <f t="shared" si="2698"/>
        <v>0</v>
      </c>
      <c r="F1002" s="868">
        <f t="shared" si="2698"/>
        <v>0</v>
      </c>
      <c r="G1002" s="868">
        <f t="shared" si="2698"/>
        <v>0</v>
      </c>
      <c r="H1002" s="868">
        <f t="shared" si="2698"/>
        <v>0</v>
      </c>
      <c r="I1002" s="868">
        <f t="shared" si="2698"/>
        <v>0</v>
      </c>
      <c r="J1002" s="868">
        <f t="shared" si="2698"/>
        <v>0</v>
      </c>
      <c r="K1002" s="868">
        <f t="shared" si="2698"/>
        <v>0</v>
      </c>
      <c r="L1002" s="868">
        <f t="shared" si="2698"/>
        <v>0</v>
      </c>
      <c r="M1002" s="868">
        <f t="shared" si="2698"/>
        <v>0</v>
      </c>
      <c r="N1002" s="868">
        <f t="shared" si="2698"/>
        <v>0</v>
      </c>
      <c r="O1002" s="868">
        <f t="shared" si="2698"/>
        <v>0</v>
      </c>
      <c r="P1002" s="868">
        <f t="shared" si="2698"/>
        <v>0</v>
      </c>
      <c r="Q1002" s="868">
        <f t="shared" si="2698"/>
        <v>0</v>
      </c>
      <c r="R1002" s="868">
        <f t="shared" si="2698"/>
        <v>0</v>
      </c>
      <c r="S1002" s="868">
        <f t="shared" si="2698"/>
        <v>0</v>
      </c>
      <c r="T1002" s="868">
        <f t="shared" si="2698"/>
        <v>0</v>
      </c>
      <c r="U1002" s="868">
        <f t="shared" si="2698"/>
        <v>0</v>
      </c>
      <c r="V1002" s="868">
        <f t="shared" si="2698"/>
        <v>0</v>
      </c>
      <c r="W1002" s="868">
        <f t="shared" si="2698"/>
        <v>0</v>
      </c>
      <c r="X1002" s="868">
        <f t="shared" si="2698"/>
        <v>0</v>
      </c>
      <c r="Y1002" s="868">
        <f t="shared" si="2698"/>
        <v>0</v>
      </c>
      <c r="Z1002" s="868">
        <f t="shared" si="2698"/>
        <v>0</v>
      </c>
      <c r="AA1002" s="868">
        <f t="shared" si="2698"/>
        <v>0</v>
      </c>
      <c r="AB1002" s="868">
        <f t="shared" si="2698"/>
        <v>0</v>
      </c>
      <c r="AC1002" s="868">
        <f t="shared" si="2698"/>
        <v>0</v>
      </c>
      <c r="AD1002" s="868">
        <f t="shared" si="2698"/>
        <v>0</v>
      </c>
      <c r="AE1002" s="868">
        <f t="shared" si="2698"/>
        <v>0</v>
      </c>
      <c r="AF1002" s="868">
        <f t="shared" si="2698"/>
        <v>0</v>
      </c>
      <c r="AG1002" s="868">
        <f t="shared" si="2698"/>
        <v>0</v>
      </c>
      <c r="AH1002" s="868">
        <f t="shared" si="2698"/>
        <v>0</v>
      </c>
      <c r="AI1002" s="868">
        <f t="shared" si="2699" ref="AI1002:AQ1002">ROUND(INDEX(MO_BSS_NTR,0,COLUMN())-INDEX(MO_UPR_NUPR,0,COLUMN())-INDEX(MO_LR_NLR,0,COLUMN()),5)</f>
        <v>0</v>
      </c>
      <c r="AJ1002" s="868">
        <f t="shared" si="2699"/>
        <v>0</v>
      </c>
      <c r="AK1002" s="868">
        <f t="shared" si="2699"/>
        <v>0</v>
      </c>
      <c r="AL1002" s="868">
        <f t="shared" si="2699"/>
        <v>0</v>
      </c>
      <c r="AM1002" s="868">
        <f t="shared" si="2699"/>
        <v>0</v>
      </c>
      <c r="AN1002" s="868">
        <f t="shared" si="2699"/>
        <v>0</v>
      </c>
      <c r="AO1002" s="868">
        <f t="shared" si="2699"/>
        <v>0</v>
      </c>
      <c r="AP1002" s="868">
        <f t="shared" si="2699"/>
        <v>0</v>
      </c>
      <c r="AQ1002" s="868">
        <f t="shared" si="2699"/>
        <v>0</v>
      </c>
      <c r="AR1002" s="868">
        <f t="shared" si="2700" ref="AR1002:AW1002">ROUND(INDEX(MO_BSS_NTR,0,COLUMN())-INDEX(MO_UPR_NUPR,0,COLUMN())-INDEX(MO_LR_NLR,0,COLUMN()),5)</f>
        <v>0</v>
      </c>
      <c r="AS1002" s="868">
        <f t="shared" si="2700"/>
        <v>0</v>
      </c>
      <c r="AT1002" s="868">
        <f t="shared" si="2700"/>
        <v>0</v>
      </c>
      <c r="AU1002" s="868">
        <f t="shared" si="2700"/>
        <v>0</v>
      </c>
      <c r="AV1002" s="868">
        <f t="shared" si="2700"/>
        <v>0</v>
      </c>
      <c r="AW1002" s="868">
        <f t="shared" si="2700"/>
        <v>0</v>
      </c>
      <c r="AX1002" s="868">
        <f t="shared" si="2701" ref="AX1002:BJ1002">ROUND(INDEX(MO_BSS_NTR,0,COLUMN())-INDEX(MO_UPR_NUPR,0,COLUMN())-INDEX(MO_LR_NLR,0,COLUMN()),5)</f>
        <v>0</v>
      </c>
      <c r="AY1002" s="868">
        <f t="shared" si="2701"/>
        <v>0</v>
      </c>
      <c r="AZ1002" s="868">
        <f t="shared" si="2701"/>
        <v>0</v>
      </c>
      <c r="BA1002" s="868">
        <f t="shared" si="2702" ref="BA1002:BI1002">ROUND(INDEX(MO_BSS_NTR,0,COLUMN())-INDEX(MO_UPR_NUPR,0,COLUMN())-INDEX(MO_LR_NLR,0,COLUMN()),5)</f>
        <v>0</v>
      </c>
      <c r="BB1002" s="868">
        <f t="shared" si="2702"/>
        <v>0</v>
      </c>
      <c r="BC1002" s="868">
        <f t="shared" si="2702"/>
        <v>0</v>
      </c>
      <c r="BD1002" s="868">
        <f t="shared" si="2702"/>
        <v>0</v>
      </c>
      <c r="BE1002" s="868">
        <f t="shared" si="2702"/>
        <v>0</v>
      </c>
      <c r="BF1002" s="868">
        <f>ROUND(INDEX(MO_BSS_NTR,0,COLUMN())-INDEX(MO_UPR_NUPR,0,COLUMN())-INDEX(MO_LR_NLR,0,COLUMN()),5)</f>
        <v>0</v>
      </c>
      <c r="BG1002" s="868">
        <f>ROUND(INDEX(MO_BSS_NTR,0,COLUMN())-INDEX(MO_UPR_NUPR,0,COLUMN())-INDEX(MO_LR_NLR,0,COLUMN()),5)</f>
        <v>0</v>
      </c>
      <c r="BH1002" s="869">
        <f>ROUND(INDEX(MO_BSS_NTR,0,COLUMN())-INDEX(MO_UPR_NUPR,0,COLUMN())-INDEX(MO_LR_NLR,0,COLUMN()),5)</f>
        <v>0</v>
      </c>
      <c r="BI1002" s="868">
        <f t="shared" si="2702"/>
        <v>0</v>
      </c>
      <c r="BJ1002" s="868">
        <f t="shared" si="2701"/>
        <v>0</v>
      </c>
      <c r="BK1002" s="868">
        <f t="shared" si="2703" ref="BK1002:BR1002">ROUND(INDEX(MO_BSS_NTR,0,COLUMN())-INDEX(MO_UPR_NUPR,0,COLUMN())-INDEX(MO_LR_NLR,0,COLUMN()),5)</f>
        <v>0</v>
      </c>
      <c r="BL1002" s="868">
        <f t="shared" si="2703"/>
        <v>0</v>
      </c>
      <c r="BM1002" s="868">
        <f t="shared" si="2703"/>
        <v>0</v>
      </c>
      <c r="BN1002" s="868">
        <f t="shared" si="2703"/>
        <v>0</v>
      </c>
      <c r="BO1002" s="868">
        <f t="shared" si="2703"/>
        <v>0</v>
      </c>
      <c r="BP1002" s="868">
        <f t="shared" si="2703"/>
        <v>0</v>
      </c>
      <c r="BQ1002" s="868">
        <f t="shared" si="2703"/>
        <v>0</v>
      </c>
      <c r="BR1002" s="868">
        <f t="shared" si="2703"/>
        <v>0</v>
      </c>
      <c r="BS1002" s="822"/>
    </row>
    <row r="1003" spans="1:71" s="22" customFormat="1" ht="15">
      <c r="A1003" s="822" t="s">
        <v>217</v>
      </c>
      <c r="B1003" s="530"/>
      <c r="C1003" s="868">
        <f t="shared" si="2704" ref="C1003:AH1003">IF(C950&lt;0,"CHECK",0)</f>
        <v>0</v>
      </c>
      <c r="D1003" s="868">
        <f t="shared" si="2704"/>
        <v>0</v>
      </c>
      <c r="E1003" s="868">
        <f t="shared" si="2704"/>
        <v>0</v>
      </c>
      <c r="F1003" s="868">
        <f t="shared" si="2704"/>
        <v>0</v>
      </c>
      <c r="G1003" s="868">
        <f t="shared" si="2704"/>
        <v>0</v>
      </c>
      <c r="H1003" s="868">
        <f t="shared" si="2704"/>
        <v>0</v>
      </c>
      <c r="I1003" s="868">
        <f t="shared" si="2704"/>
        <v>0</v>
      </c>
      <c r="J1003" s="868">
        <f t="shared" si="2704"/>
        <v>0</v>
      </c>
      <c r="K1003" s="868">
        <f t="shared" si="2704"/>
        <v>0</v>
      </c>
      <c r="L1003" s="868">
        <f t="shared" si="2704"/>
        <v>0</v>
      </c>
      <c r="M1003" s="868">
        <f t="shared" si="2704"/>
        <v>0</v>
      </c>
      <c r="N1003" s="868">
        <f t="shared" si="2704"/>
        <v>0</v>
      </c>
      <c r="O1003" s="868">
        <f t="shared" si="2704"/>
        <v>0</v>
      </c>
      <c r="P1003" s="868">
        <f t="shared" si="2704"/>
        <v>0</v>
      </c>
      <c r="Q1003" s="868">
        <f t="shared" si="2704"/>
        <v>0</v>
      </c>
      <c r="R1003" s="868">
        <f t="shared" si="2704"/>
        <v>0</v>
      </c>
      <c r="S1003" s="868">
        <f t="shared" si="2704"/>
        <v>0</v>
      </c>
      <c r="T1003" s="868">
        <f t="shared" si="2704"/>
        <v>0</v>
      </c>
      <c r="U1003" s="868">
        <f t="shared" si="2704"/>
        <v>0</v>
      </c>
      <c r="V1003" s="868">
        <f t="shared" si="2704"/>
        <v>0</v>
      </c>
      <c r="W1003" s="868">
        <f t="shared" si="2704"/>
        <v>0</v>
      </c>
      <c r="X1003" s="868">
        <f t="shared" si="2704"/>
        <v>0</v>
      </c>
      <c r="Y1003" s="868">
        <f t="shared" si="2704"/>
        <v>0</v>
      </c>
      <c r="Z1003" s="868">
        <f t="shared" si="2704"/>
        <v>0</v>
      </c>
      <c r="AA1003" s="868">
        <f t="shared" si="2704"/>
        <v>0</v>
      </c>
      <c r="AB1003" s="868">
        <f t="shared" si="2704"/>
        <v>0</v>
      </c>
      <c r="AC1003" s="868">
        <f t="shared" si="2704"/>
        <v>0</v>
      </c>
      <c r="AD1003" s="868">
        <f t="shared" si="2704"/>
        <v>0</v>
      </c>
      <c r="AE1003" s="868">
        <f t="shared" si="2704"/>
        <v>0</v>
      </c>
      <c r="AF1003" s="868">
        <f t="shared" si="2704"/>
        <v>0</v>
      </c>
      <c r="AG1003" s="868">
        <f t="shared" si="2704"/>
        <v>0</v>
      </c>
      <c r="AH1003" s="868">
        <f t="shared" si="2704"/>
        <v>0</v>
      </c>
      <c r="AI1003" s="868">
        <f t="shared" si="2705" ref="AI1003:BR1003">IF(AI950&lt;0,"CHECK",0)</f>
        <v>0</v>
      </c>
      <c r="AJ1003" s="868">
        <f t="shared" si="2705"/>
        <v>0</v>
      </c>
      <c r="AK1003" s="868">
        <f t="shared" si="2705"/>
        <v>0</v>
      </c>
      <c r="AL1003" s="868">
        <f t="shared" si="2705"/>
        <v>0</v>
      </c>
      <c r="AM1003" s="868">
        <f t="shared" si="2705"/>
        <v>0</v>
      </c>
      <c r="AN1003" s="868">
        <f t="shared" si="2705"/>
        <v>0</v>
      </c>
      <c r="AO1003" s="868">
        <f t="shared" si="2705"/>
        <v>0</v>
      </c>
      <c r="AP1003" s="868">
        <f t="shared" si="2705"/>
        <v>0</v>
      </c>
      <c r="AQ1003" s="868">
        <f t="shared" si="2705"/>
        <v>0</v>
      </c>
      <c r="AR1003" s="868">
        <f t="shared" si="2705"/>
        <v>0</v>
      </c>
      <c r="AS1003" s="868">
        <f t="shared" si="2705"/>
        <v>0</v>
      </c>
      <c r="AT1003" s="868">
        <f t="shared" si="2705"/>
        <v>0</v>
      </c>
      <c r="AU1003" s="868">
        <f t="shared" si="2705"/>
        <v>0</v>
      </c>
      <c r="AV1003" s="868">
        <f t="shared" si="2705"/>
        <v>0</v>
      </c>
      <c r="AW1003" s="868">
        <f t="shared" si="2705"/>
        <v>0</v>
      </c>
      <c r="AX1003" s="868">
        <f t="shared" si="2705"/>
        <v>0</v>
      </c>
      <c r="AY1003" s="868">
        <f t="shared" si="2705"/>
        <v>0</v>
      </c>
      <c r="AZ1003" s="868">
        <f t="shared" si="2705"/>
        <v>0</v>
      </c>
      <c r="BA1003" s="868">
        <f t="shared" si="2705"/>
        <v>0</v>
      </c>
      <c r="BB1003" s="868">
        <f t="shared" si="2705"/>
        <v>0</v>
      </c>
      <c r="BC1003" s="868">
        <f t="shared" si="2705"/>
        <v>0</v>
      </c>
      <c r="BD1003" s="868">
        <f t="shared" si="2705"/>
        <v>0</v>
      </c>
      <c r="BE1003" s="868">
        <f t="shared" si="2705"/>
        <v>0</v>
      </c>
      <c r="BF1003" s="868">
        <f t="shared" si="2705"/>
        <v>0</v>
      </c>
      <c r="BG1003" s="868">
        <f t="shared" si="2705"/>
        <v>0</v>
      </c>
      <c r="BH1003" s="869">
        <f t="shared" si="2705"/>
        <v>0</v>
      </c>
      <c r="BI1003" s="868">
        <f t="shared" ca="1" si="2705"/>
        <v>0</v>
      </c>
      <c r="BJ1003" s="868">
        <f t="shared" ca="1" si="2705"/>
        <v>0</v>
      </c>
      <c r="BK1003" s="868">
        <f t="shared" ca="1" si="2705"/>
        <v>0</v>
      </c>
      <c r="BL1003" s="868">
        <f t="shared" ca="1" si="2705"/>
        <v>0</v>
      </c>
      <c r="BM1003" s="868">
        <f t="shared" ca="1" si="2705"/>
        <v>0</v>
      </c>
      <c r="BN1003" s="868">
        <f t="shared" ca="1" si="2705"/>
        <v>0</v>
      </c>
      <c r="BO1003" s="868">
        <f t="shared" ca="1" si="2705"/>
        <v>0</v>
      </c>
      <c r="BP1003" s="868">
        <f t="shared" ca="1" si="2705"/>
        <v>0</v>
      </c>
      <c r="BQ1003" s="868">
        <f t="shared" ca="1" si="2705"/>
        <v>0</v>
      </c>
      <c r="BR1003" s="868">
        <f t="shared" ca="1" si="2705"/>
        <v>0</v>
      </c>
      <c r="BS1003" s="822"/>
    </row>
    <row r="1004" spans="1:71" s="22" customFormat="1" ht="15">
      <c r="A1004" s="822" t="s">
        <v>218</v>
      </c>
      <c r="B1004" s="530"/>
      <c r="C1004" s="868">
        <f>IF(ISBLANK(INDEX(MO_IS_FirstRow,0,COLUMN())),0,IF(OR(C930=B930,C930=D930),"CHECK",0))</f>
        <v>0</v>
      </c>
      <c r="D1004" s="868">
        <f>IF(ISBLANK(INDEX(MO_IS_FirstRow,0,COLUMN())),0,IF(OR(D930=C930,D930=E930),"CHECK",0))</f>
        <v>0</v>
      </c>
      <c r="E1004" s="868">
        <f>IF(ISBLANK(INDEX(MO_IS_FirstRow,0,COLUMN())),0,IF(OR(E930=D930,E930=F930),"CHECK",0))</f>
        <v>0</v>
      </c>
      <c r="F1004" s="868">
        <f>IF(ISBLANK(INDEX(MO_IS_FirstRow,0,COLUMN())),0,IF(OR(F930=E930,F930=G930),"CHECK",0))</f>
        <v>0</v>
      </c>
      <c r="G1004" s="868">
        <f>IF(ISBLANK(INDEX(MO_IS_FirstRow,0,COLUMN())),0,IF(OR(G930=F930,G930=H930),"CHECK",0))</f>
        <v>0</v>
      </c>
      <c r="H1004" s="868">
        <f>IF(ISBLANK(INDEX(MO_IS_FirstRow,0,COLUMN())),0,IF(OR(H930=C930,H930=I930,H930=F930),"CHECK",0))</f>
        <v>0</v>
      </c>
      <c r="I1004" s="868">
        <f>IF(ISBLANK(INDEX(MO_IS_FirstRow,0,COLUMN())),0,IF(OR(I930=D930,I930=J930,I930=H930),"CHECK",0))</f>
        <v>0</v>
      </c>
      <c r="J1004" s="868">
        <f>IF(ISBLANK(INDEX(MO_IS_FirstRow,0,COLUMN())),0,IF(OR(J930=E930,J930=K930,J930=I930),"CHECK",0))</f>
        <v>0</v>
      </c>
      <c r="K1004" s="868">
        <f>IF(ISBLANK(INDEX(MO_IS_FirstRow,0,COLUMN())),0,IF(OR(K930=F930,K930=L930,K930=J930),"CHECK",0))</f>
        <v>0</v>
      </c>
      <c r="L1004" s="868">
        <f>IF(ISBLANK(INDEX(MO_IS_FirstRow,0,COLUMN())),0,IF(L930=G930,"CHECK",0))</f>
        <v>0</v>
      </c>
      <c r="M1004" s="868">
        <f>IF(ISBLANK(INDEX(MO_IS_FirstRow,0,COLUMN())),0,IF(OR(M930=H930,M930=N930,M930=K930),"CHECK",0))</f>
        <v>0</v>
      </c>
      <c r="N1004" s="868">
        <f>IF(ISBLANK(INDEX(MO_IS_FirstRow,0,COLUMN())),0,IF(OR(N930=I930,N930=O930,N930=M930),"CHECK",0))</f>
        <v>0</v>
      </c>
      <c r="O1004" s="868">
        <f>IF(ISBLANK(INDEX(MO_IS_FirstRow,0,COLUMN())),0,IF(OR(O930=J930,O930=P930,O930=N930),"CHECK",0))</f>
        <v>0</v>
      </c>
      <c r="P1004" s="868">
        <f>IF(ISBLANK(INDEX(MO_IS_FirstRow,0,COLUMN())),0,IF(OR(P930=K930,P930=Q930,P930=O930),"CHECK",0))</f>
        <v>0</v>
      </c>
      <c r="Q1004" s="868">
        <f>IF(ISBLANK(INDEX(MO_IS_FirstRow,0,COLUMN())),0,IF(Q930=L930,"CHECK",0))</f>
        <v>0</v>
      </c>
      <c r="R1004" s="868">
        <f>IF(ISBLANK(INDEX(MO_IS_FirstRow,0,COLUMN())),0,IF(OR(R930=M930,R930=S930,R930=P930),"CHECK",0))</f>
        <v>0</v>
      </c>
      <c r="S1004" s="868">
        <f>IF(ISBLANK(INDEX(MO_IS_FirstRow,0,COLUMN())),0,IF(OR(S930=N930,S930=T930,S930=R930),"CHECK",0))</f>
        <v>0</v>
      </c>
      <c r="T1004" s="868">
        <f>IF(ISBLANK(INDEX(MO_IS_FirstRow,0,COLUMN())),0,IF(OR(T930=O930,T930=U930,T930=S930),"CHECK",0))</f>
        <v>0</v>
      </c>
      <c r="U1004" s="868">
        <f>IF(ISBLANK(INDEX(MO_IS_FirstRow,0,COLUMN())),0,IF(OR(U930=P930,U930=V930,U930=T930),"CHECK",0))</f>
        <v>0</v>
      </c>
      <c r="V1004" s="868">
        <f>IF(ISBLANK(INDEX(MO_IS_FirstRow,0,COLUMN())),0,IF(V930=Q930,"CHECK",0))</f>
        <v>0</v>
      </c>
      <c r="W1004" s="868">
        <f>IF(ISBLANK(INDEX(MO_IS_FirstRow,0,COLUMN())),0,IF(OR(W930=R930,W930=X930,W930=U930),"CHECK",0))</f>
        <v>0</v>
      </c>
      <c r="X1004" s="868">
        <f>IF(ISBLANK(INDEX(MO_IS_FirstRow,0,COLUMN())),0,IF(OR(X930=S930,X930=Y930,X930=W930),"CHECK",0))</f>
        <v>0</v>
      </c>
      <c r="Y1004" s="868">
        <f>IF(ISBLANK(INDEX(MO_IS_FirstRow,0,COLUMN())),0,IF(OR(Y930=T930,Y930=Z930,Y930=X930),"CHECK",0))</f>
        <v>0</v>
      </c>
      <c r="Z1004" s="868">
        <f>IF(ISBLANK(INDEX(MO_IS_FirstRow,0,COLUMN())),0,IF(OR(Z930=U930,Z930=AA930,Z930=Y930),"CHECK",0))</f>
        <v>0</v>
      </c>
      <c r="AA1004" s="868">
        <f>IF(ISBLANK(INDEX(MO_IS_FirstRow,0,COLUMN())),0,IF(AA930=V930,"CHECK",0))</f>
        <v>0</v>
      </c>
      <c r="AB1004" s="868">
        <f>IF(ISBLANK(INDEX(MO_IS_FirstRow,0,COLUMN())),0,IF(OR(AB930=W930,AB930=AC930,AB930=Z930),"CHECK",0))</f>
        <v>0</v>
      </c>
      <c r="AC1004" s="868">
        <f>IF(ISBLANK(INDEX(MO_IS_FirstRow,0,COLUMN())),0,IF(OR(AC930=X930,AC930=AD930,AC930=AB930),"CHECK",0))</f>
        <v>0</v>
      </c>
      <c r="AD1004" s="868">
        <f>IF(ISBLANK(INDEX(MO_IS_FirstRow,0,COLUMN())),0,IF(OR(AD930=Y930,AD930=AE930,AD930=AC930),"CHECK",0))</f>
        <v>0</v>
      </c>
      <c r="AE1004" s="868">
        <f>IF(ISBLANK(INDEX(MO_IS_FirstRow,0,COLUMN())),0,IF(OR(AE930=Z930,AE930=AF930,AE930=AD930),"CHECK",0))</f>
        <v>0</v>
      </c>
      <c r="AF1004" s="868">
        <f>IF(ISBLANK(INDEX(MO_IS_FirstRow,0,COLUMN())),0,IF(AF930=AA930,"CHECK",0))</f>
        <v>0</v>
      </c>
      <c r="AG1004" s="868">
        <f>IF(ISBLANK(INDEX(MO_IS_FirstRow,0,COLUMN())),0,IF(OR(AG930=AB930,AG930=AH930,AG930=AE930),"CHECK",0))</f>
        <v>0</v>
      </c>
      <c r="AH1004" s="868">
        <f>IF(ISBLANK(INDEX(MO_IS_FirstRow,0,COLUMN())),0,IF(OR(AH930=AC930,AH930=AI930,AH930=AG930),"CHECK",0))</f>
        <v>0</v>
      </c>
      <c r="AI1004" s="868">
        <f>IF(ISBLANK(INDEX(MO_IS_FirstRow,0,COLUMN())),0,IF(OR(AI930=AD930,AI930=AJ930,AI930=AH930),"CHECK",0))</f>
        <v>0</v>
      </c>
      <c r="AJ1004" s="868">
        <f>IF(ISBLANK(INDEX(MO_IS_FirstRow,0,COLUMN())),0,IF(OR(AJ930=AE930,AJ930=AK930,AJ930=AI930),"CHECK",0))</f>
        <v>0</v>
      </c>
      <c r="AK1004" s="868">
        <f>IF(ISBLANK(INDEX(MO_IS_FirstRow,0,COLUMN())),0,IF(AK930=AF930,"CHECK",0))</f>
        <v>0</v>
      </c>
      <c r="AL1004" s="868">
        <f>IF(ISBLANK(INDEX(MO_IS_FirstRow,0,COLUMN())),0,IF(OR(AL930=AG930,AL930=AM930,AL930=AJ930),"CHECK",0))</f>
        <v>0</v>
      </c>
      <c r="AM1004" s="868">
        <f>IF(ISBLANK(INDEX(MO_IS_FirstRow,0,COLUMN())),0,IF(OR(AM930=AH930,AM930=AN930,AM930=AL930),"CHECK",0))</f>
        <v>0</v>
      </c>
      <c r="AN1004" s="868">
        <f>IF(ISBLANK(INDEX(MO_IS_FirstRow,0,COLUMN())),0,IF(OR(AN930=AI930,AN930=AO930,AN930=AM930),"CHECK",0))</f>
        <v>0</v>
      </c>
      <c r="AO1004" s="868">
        <f>IF(ISBLANK(INDEX(MO_IS_FirstRow,0,COLUMN())),0,IF(OR(AO930=AJ930,AO930=AP930,AO930=AN930),"CHECK",0))</f>
        <v>0</v>
      </c>
      <c r="AP1004" s="868">
        <f>IF(ISBLANK(INDEX(MO_IS_FirstRow,0,COLUMN())),0,IF(AP930=AK930,"CHECK",0))</f>
        <v>0</v>
      </c>
      <c r="AQ1004" s="868">
        <f>IF(ISBLANK(INDEX(MO_IS_FirstRow,0,COLUMN())),0,IF(OR(AQ930=AL930,AQ930=AR930,AQ930=AO930),"CHECK",0))</f>
        <v>0</v>
      </c>
      <c r="AR1004" s="868">
        <f>IF(ISBLANK(INDEX(MO_IS_FirstRow,0,COLUMN())),0,IF(OR(AR930=AM930,AR930=AS930,AR930=AQ930),"CHECK",0))</f>
        <v>0</v>
      </c>
      <c r="AS1004" s="868">
        <f>IF(ISBLANK(INDEX(MO_IS_FirstRow,0,COLUMN())),0,IF(OR(AS930=AN930,AS930=AT930,AS930=AR930),"CHECK",0))</f>
        <v>0</v>
      </c>
      <c r="AT1004" s="868">
        <f>IF(ISBLANK(INDEX(MO_IS_FirstRow,0,COLUMN())),0,IF(OR(AT930=AO930,AT930=AU930,AT930=AS930),"CHECK",0))</f>
        <v>0</v>
      </c>
      <c r="AU1004" s="868">
        <f>IF(ISBLANK(INDEX(MO_IS_FirstRow,0,COLUMN())),0,IF(AU930=AP930,"CHECK",0))</f>
        <v>0</v>
      </c>
      <c r="AV1004" s="868">
        <f>IF(ISBLANK(INDEX(MO_IS_FirstRow,0,COLUMN())),0,IF(OR(AV930=AQ930,AV930=AW930,AV930=AT930),"CHECK",0))</f>
        <v>0</v>
      </c>
      <c r="AW1004" s="868">
        <f>IF(ISBLANK(INDEX(MO_IS_FirstRow,0,COLUMN())),0,IF(OR(AW930=AR930,AW930=AX930,AW930=AV930),"CHECK",0))</f>
        <v>0</v>
      </c>
      <c r="AX1004" s="868">
        <f>IF(ISBLANK(INDEX(MO_IS_FirstRow,0,COLUMN())),0,IF(OR(AX930=AS930,AX930=AY930,AX930=AW930),"CHECK",0))</f>
        <v>0</v>
      </c>
      <c r="AY1004" s="868">
        <f>IF(ISBLANK(INDEX(MO_IS_FirstRow,0,COLUMN())),0,IF(OR(AY930=AT930,AY930=AZ930,AY930=AX930),"CHECK",0))</f>
        <v>0</v>
      </c>
      <c r="AZ1004" s="868">
        <f>IF(ISBLANK(INDEX(MO_IS_FirstRow,0,COLUMN())),0,IF(AZ930=AU930,"CHECK",0))</f>
        <v>0</v>
      </c>
      <c r="BA1004" s="868">
        <f>IF(ISBLANK(INDEX(MO_IS_FirstRow,0,COLUMN())),0,IF(OR(BA930=AV930,BA930=BB930,BA930=AY930),"CHECK",0))</f>
        <v>0</v>
      </c>
      <c r="BB1004" s="868">
        <f>IF(ISBLANK(INDEX(MO_IS_FirstRow,0,COLUMN())),0,IF(OR(BB930=AW930,BB930=BC930,BB930=BA930),"CHECK",0))</f>
        <v>0</v>
      </c>
      <c r="BC1004" s="868">
        <f>IF(ISBLANK(INDEX(MO_IS_FirstRow,0,COLUMN())),0,IF(OR(BC930=AX930,BC930=BD930,BC930=BB930),"CHECK",0))</f>
        <v>0</v>
      </c>
      <c r="BD1004" s="868">
        <f>IF(ISBLANK(INDEX(MO_IS_FirstRow,0,COLUMN())),0,IF(OR(BD930=AY930,BD930=BE930,BD930=BC930),"CHECK",0))</f>
        <v>0</v>
      </c>
      <c r="BE1004" s="868">
        <f>IF(ISBLANK(INDEX(MO_IS_FirstRow,0,COLUMN())),0,IF(BE930=AZ930,"CHECK",0))</f>
        <v>0</v>
      </c>
      <c r="BF1004" s="868">
        <f>IF(ISBLANK(INDEX(MO_IS_FirstRow,0,COLUMN())),0,IF(OR(BF930=BA930,BF930=BG930,BF930=BD930),"CHECK",0))</f>
        <v>0</v>
      </c>
      <c r="BG1004" s="868">
        <f>IF(ISBLANK(INDEX(MO_IS_FirstRow,0,COLUMN())),0,IF(OR(BG930=BB930,BG930=BH930,BG930=BF930),"CHECK",0))</f>
        <v>0</v>
      </c>
      <c r="BH1004" s="869">
        <f ca="1">IF(ISBLANK(INDEX(MO_IS_FirstRow,0,COLUMN())),0,IF(OR(BH930=BC930,BH930=BI930,BH930=BG930),"CHECK",0))</f>
        <v>0</v>
      </c>
      <c r="BI1004" s="868"/>
      <c r="BJ1004" s="868"/>
      <c r="BK1004" s="868"/>
      <c r="BL1004" s="868"/>
      <c r="BM1004" s="868"/>
      <c r="BN1004" s="868"/>
      <c r="BO1004" s="868"/>
      <c r="BP1004" s="868"/>
      <c r="BQ1004" s="868"/>
      <c r="BR1004" s="868"/>
      <c r="BS1004" s="822"/>
    </row>
    <row r="1005" spans="1:71" s="22" customFormat="1" ht="15">
      <c r="A1005" s="822" t="s">
        <v>219</v>
      </c>
      <c r="B1005" s="530"/>
      <c r="C1005" s="868">
        <f>IF(ISBLANK(INDEX(MO_IS_FirstRow,0,COLUMN())),0,IF(OR(C689=B689,C689=D689),"CHECK",0))</f>
        <v>0</v>
      </c>
      <c r="D1005" s="868">
        <f>IF(ISBLANK(INDEX(MO_IS_FirstRow,0,COLUMN())),0,IF(OR(D689=C689,D689=E689),"CHECK",0))</f>
        <v>0</v>
      </c>
      <c r="E1005" s="868">
        <f>IF(ISBLANK(INDEX(MO_IS_FirstRow,0,COLUMN())),0,IF(OR(E689=D689,E689=F689),"CHECK",0))</f>
        <v>0</v>
      </c>
      <c r="F1005" s="868">
        <f>IF(ISBLANK(INDEX(MO_IS_FirstRow,0,COLUMN())),0,IF(OR(F689=E689,F689=G689),"CHECK",0))</f>
        <v>0</v>
      </c>
      <c r="G1005" s="868">
        <f>IF(ISBLANK(INDEX(MO_IS_FirstRow,0,COLUMN())),0,IF(OR(G689=F689,G689=H689),"CHECK",0))</f>
        <v>0</v>
      </c>
      <c r="H1005" s="868">
        <f>IF(ISBLANK(INDEX(MO_IS_FirstRow,0,COLUMN())),0,IF(OR(H689=C689,H689=I689,H689=F689),"CHECK",0))</f>
        <v>0</v>
      </c>
      <c r="I1005" s="868">
        <f>IF(ISBLANK(INDEX(MO_IS_FirstRow,0,COLUMN())),0,IF(OR(I689=D689,I689=J689,I689=H689),"CHECK",0))</f>
        <v>0</v>
      </c>
      <c r="J1005" s="868">
        <f>IF(ISBLANK(INDEX(MO_IS_FirstRow,0,COLUMN())),0,IF(OR(J689=E689,J689=K689,J689=I689),"CHECK",0))</f>
        <v>0</v>
      </c>
      <c r="K1005" s="868">
        <f>IF(ISBLANK(INDEX(MO_IS_FirstRow,0,COLUMN())),0,IF(OR(K689=F689,K689=L689,K689=J689),"CHECK",0))</f>
        <v>0</v>
      </c>
      <c r="L1005" s="868">
        <f>IF(ISBLANK(INDEX(MO_IS_FirstRow,0,COLUMN())),0,IF(L689=G689,"CHECK",0))</f>
        <v>0</v>
      </c>
      <c r="M1005" s="868">
        <f>IF(ISBLANK(INDEX(MO_IS_FirstRow,0,COLUMN())),0,IF(OR(M689=H689,M689=N689,M689=K689),"CHECK",0))</f>
        <v>0</v>
      </c>
      <c r="N1005" s="868">
        <f>IF(ISBLANK(INDEX(MO_IS_FirstRow,0,COLUMN())),0,IF(OR(N689=I689,N689=O689,N689=M689),"CHECK",0))</f>
        <v>0</v>
      </c>
      <c r="O1005" s="868">
        <f>IF(ISBLANK(INDEX(MO_IS_FirstRow,0,COLUMN())),0,IF(OR(O689=J689,O689=P689,O689=N689),"CHECK",0))</f>
        <v>0</v>
      </c>
      <c r="P1005" s="868">
        <f>IF(ISBLANK(INDEX(MO_IS_FirstRow,0,COLUMN())),0,IF(OR(P689=K689,P689=Q689,P689=O689),"CHECK",0))</f>
        <v>0</v>
      </c>
      <c r="Q1005" s="868">
        <f>IF(ISBLANK(INDEX(MO_IS_FirstRow,0,COLUMN())),0,IF(Q689=L689,"CHECK",0))</f>
        <v>0</v>
      </c>
      <c r="R1005" s="868">
        <f>IF(ISBLANK(INDEX(MO_IS_FirstRow,0,COLUMN())),0,IF(OR(R689=M689,R689=S689,R689=P689),"CHECK",0))</f>
        <v>0</v>
      </c>
      <c r="S1005" s="868">
        <f>IF(ISBLANK(INDEX(MO_IS_FirstRow,0,COLUMN())),0,IF(OR(S689=N689,S689=T689,S689=R689),"CHECK",0))</f>
        <v>0</v>
      </c>
      <c r="T1005" s="868">
        <f>IF(ISBLANK(INDEX(MO_IS_FirstRow,0,COLUMN())),0,IF(OR(T689=O689,T689=U689,T689=S689),"CHECK",0))</f>
        <v>0</v>
      </c>
      <c r="U1005" s="868">
        <f>IF(ISBLANK(INDEX(MO_IS_FirstRow,0,COLUMN())),0,IF(OR(U689=P689,U689=V689,U689=T689),"CHECK",0))</f>
        <v>0</v>
      </c>
      <c r="V1005" s="868">
        <f>IF(ISBLANK(INDEX(MO_IS_FirstRow,0,COLUMN())),0,IF(V689=Q689,"CHECK",0))</f>
        <v>0</v>
      </c>
      <c r="W1005" s="868">
        <f>IF(ISBLANK(INDEX(MO_IS_FirstRow,0,COLUMN())),0,IF(OR(W689=R689,W689=X689,W689=U689),"CHECK",0))</f>
        <v>0</v>
      </c>
      <c r="X1005" s="868">
        <f>IF(ISBLANK(INDEX(MO_IS_FirstRow,0,COLUMN())),0,IF(OR(X689=S689,X689=Y689,X689=W689),"CHECK",0))</f>
        <v>0</v>
      </c>
      <c r="Y1005" s="868">
        <f>IF(ISBLANK(INDEX(MO_IS_FirstRow,0,COLUMN())),0,IF(OR(Y689=T689,Y689=Z689,Y689=X689),"CHECK",0))</f>
        <v>0</v>
      </c>
      <c r="Z1005" s="868">
        <f>IF(ISBLANK(INDEX(MO_IS_FirstRow,0,COLUMN())),0,IF(OR(Z689=U689,Z689=AA689,Z689=Y689),"CHECK",0))</f>
        <v>0</v>
      </c>
      <c r="AA1005" s="868">
        <f>IF(ISBLANK(INDEX(MO_IS_FirstRow,0,COLUMN())),0,IF(AA689=V689,"CHECK",0))</f>
        <v>0</v>
      </c>
      <c r="AB1005" s="868">
        <f>IF(ISBLANK(INDEX(MO_IS_FirstRow,0,COLUMN())),0,IF(OR(AB689=W689,AB689=AC689,AB689=Z689),"CHECK",0))</f>
        <v>0</v>
      </c>
      <c r="AC1005" s="868">
        <f>IF(ISBLANK(INDEX(MO_IS_FirstRow,0,COLUMN())),0,IF(OR(AC689=X689,AC689=AD689,AC689=AB689),"CHECK",0))</f>
        <v>0</v>
      </c>
      <c r="AD1005" s="868">
        <f>IF(ISBLANK(INDEX(MO_IS_FirstRow,0,COLUMN())),0,IF(OR(AD689=Y689,AD689=AE689,AD689=AC689),"CHECK",0))</f>
        <v>0</v>
      </c>
      <c r="AE1005" s="868">
        <f>IF(ISBLANK(INDEX(MO_IS_FirstRow,0,COLUMN())),0,IF(OR(AE689=Z689,AE689=AF689,AE689=AD689),"CHECK",0))</f>
        <v>0</v>
      </c>
      <c r="AF1005" s="868">
        <f>IF(ISBLANK(INDEX(MO_IS_FirstRow,0,COLUMN())),0,IF(AF689=AA689,"CHECK",0))</f>
        <v>0</v>
      </c>
      <c r="AG1005" s="868">
        <f>IF(ISBLANK(INDEX(MO_IS_FirstRow,0,COLUMN())),0,IF(OR(AG689=AB689,AG689=AH689,AG689=AE689),"CHECK",0))</f>
        <v>0</v>
      </c>
      <c r="AH1005" s="868">
        <f>IF(ISBLANK(INDEX(MO_IS_FirstRow,0,COLUMN())),0,IF(OR(AH689=AC689,AH689=AI689,AH689=AG689),"CHECK",0))</f>
        <v>0</v>
      </c>
      <c r="AI1005" s="868">
        <f>IF(ISBLANK(INDEX(MO_IS_FirstRow,0,COLUMN())),0,IF(OR(AI689=AD689,AI689=AJ689,AI689=AH689),"CHECK",0))</f>
        <v>0</v>
      </c>
      <c r="AJ1005" s="868">
        <f>IF(ISBLANK(INDEX(MO_IS_FirstRow,0,COLUMN())),0,IF(OR(AJ689=AE689,AJ689=AK689,AJ689=AI689),"CHECK",0))</f>
        <v>0</v>
      </c>
      <c r="AK1005" s="868">
        <f>IF(ISBLANK(INDEX(MO_IS_FirstRow,0,COLUMN())),0,IF(AK689=AF689,"CHECK",0))</f>
        <v>0</v>
      </c>
      <c r="AL1005" s="868">
        <f>IF(ISBLANK(INDEX(MO_IS_FirstRow,0,COLUMN())),0,IF(OR(AL689=AG689,AL689=AM689,AL689=AJ689),"CHECK",0))</f>
        <v>0</v>
      </c>
      <c r="AM1005" s="868">
        <f>IF(ISBLANK(INDEX(MO_IS_FirstRow,0,COLUMN())),0,IF(OR(AM689=AH689,AM689=AN689,AM689=AL689),"CHECK",0))</f>
        <v>0</v>
      </c>
      <c r="AN1005" s="868">
        <f>IF(ISBLANK(INDEX(MO_IS_FirstRow,0,COLUMN())),0,IF(OR(AN689=AI689,AN689=AO689,AN689=AM689),"CHECK",0))</f>
        <v>0</v>
      </c>
      <c r="AO1005" s="868">
        <f>IF(ISBLANK(INDEX(MO_IS_FirstRow,0,COLUMN())),0,IF(OR(AO689=AJ689,AO689=AP689,AO689=AN689),"CHECK",0))</f>
        <v>0</v>
      </c>
      <c r="AP1005" s="868">
        <f>IF(ISBLANK(INDEX(MO_IS_FirstRow,0,COLUMN())),0,IF(AP689=AK689,"CHECK",0))</f>
        <v>0</v>
      </c>
      <c r="AQ1005" s="868">
        <f>IF(ISBLANK(INDEX(MO_IS_FirstRow,0,COLUMN())),0,IF(OR(AQ689=AL689,AQ689=AR689,AQ689=AO689),"CHECK",0))</f>
        <v>0</v>
      </c>
      <c r="AR1005" s="868">
        <f>IF(ISBLANK(INDEX(MO_IS_FirstRow,0,COLUMN())),0,IF(OR(AR689=AM689,AR689=AS689,AR689=AQ689),"CHECK",0))</f>
        <v>0</v>
      </c>
      <c r="AS1005" s="868">
        <f>IF(ISBLANK(INDEX(MO_IS_FirstRow,0,COLUMN())),0,IF(OR(AS689=AN689,AS689=AT689,AS689=AR689),"CHECK",0))</f>
        <v>0</v>
      </c>
      <c r="AT1005" s="868">
        <f>IF(ISBLANK(INDEX(MO_IS_FirstRow,0,COLUMN())),0,IF(OR(AT689=AO689,AT689=AU689,AT689=AS689),"CHECK",0))</f>
        <v>0</v>
      </c>
      <c r="AU1005" s="868">
        <f>IF(ISBLANK(INDEX(MO_IS_FirstRow,0,COLUMN())),0,IF(AU689=AP689,"CHECK",0))</f>
        <v>0</v>
      </c>
      <c r="AV1005" s="868">
        <f>IF(ISBLANK(INDEX(MO_IS_FirstRow,0,COLUMN())),0,IF(OR(AV689=AQ689,AV689=AW689,AV689=AT689),"CHECK",0))</f>
        <v>0</v>
      </c>
      <c r="AW1005" s="868">
        <f>IF(ISBLANK(INDEX(MO_IS_FirstRow,0,COLUMN())),0,IF(OR(AW689=AR689,AW689=AX689,AW689=AV689),"CHECK",0))</f>
        <v>0</v>
      </c>
      <c r="AX1005" s="868">
        <f>IF(ISBLANK(INDEX(MO_IS_FirstRow,0,COLUMN())),0,IF(OR(AX689=AS689,AX689=AY689,AX689=AW689),"CHECK",0))</f>
        <v>0</v>
      </c>
      <c r="AY1005" s="868">
        <f>IF(ISBLANK(INDEX(MO_IS_FirstRow,0,COLUMN())),0,IF(OR(AY689=AT689,AY689=AZ689,AY689=AX689),"CHECK",0))</f>
        <v>0</v>
      </c>
      <c r="AZ1005" s="868">
        <f>IF(ISBLANK(INDEX(MO_IS_FirstRow,0,COLUMN())),0,IF(AZ689=AU689,"CHECK",0))</f>
        <v>0</v>
      </c>
      <c r="BA1005" s="868">
        <f>IF(ISBLANK(INDEX(MO_IS_FirstRow,0,COLUMN())),0,IF(OR(BA689=AV689,BA689=BB689,BA689=AY689),"CHECK",0))</f>
        <v>0</v>
      </c>
      <c r="BB1005" s="868">
        <f>IF(ISBLANK(INDEX(MO_IS_FirstRow,0,COLUMN())),0,IF(OR(BB689=AW689,BB689=BC689,BB689=BA689),"CHECK",0))</f>
        <v>0</v>
      </c>
      <c r="BC1005" s="868">
        <f>IF(ISBLANK(INDEX(MO_IS_FirstRow,0,COLUMN())),0,IF(OR(BC689=AX689,BC689=BD689,BC689=BB689),"CHECK",0))</f>
        <v>0</v>
      </c>
      <c r="BD1005" s="868">
        <f>IF(ISBLANK(INDEX(MO_IS_FirstRow,0,COLUMN())),0,IF(OR(BD689=AY689,BD689=BE689,BD689=BC689),"CHECK",0))</f>
        <v>0</v>
      </c>
      <c r="BE1005" s="868">
        <f>IF(ISBLANK(INDEX(MO_IS_FirstRow,0,COLUMN())),0,IF(BE689=AZ689,"CHECK",0))</f>
        <v>0</v>
      </c>
      <c r="BF1005" s="868">
        <f>IF(ISBLANK(INDEX(MO_IS_FirstRow,0,COLUMN())),0,IF(OR(BF689=BA689,BF689=BG689,BF689=BD689),"CHECK",0))</f>
        <v>0</v>
      </c>
      <c r="BG1005" s="868">
        <f>IF(ISBLANK(INDEX(MO_IS_FirstRow,0,COLUMN())),0,IF(OR(BG689=BB689,BG689=BH689,BG689=BF689),"CHECK",0))</f>
        <v>0</v>
      </c>
      <c r="BH1005" s="869">
        <f>IF(ISBLANK(INDEX(MO_IS_FirstRow,0,COLUMN())),0,IF(OR(BH689=BC689,BH689=BI689,BH689=BG689),"CHECK",0))</f>
        <v>0</v>
      </c>
      <c r="BI1005" s="868"/>
      <c r="BJ1005" s="868"/>
      <c r="BK1005" s="868"/>
      <c r="BL1005" s="868"/>
      <c r="BM1005" s="868"/>
      <c r="BN1005" s="868"/>
      <c r="BO1005" s="868"/>
      <c r="BP1005" s="868"/>
      <c r="BQ1005" s="868"/>
      <c r="BR1005" s="868"/>
      <c r="BS1005" s="822"/>
    </row>
    <row r="1006" spans="1:71" s="22" customFormat="1" ht="15">
      <c r="A1006" s="822" t="s">
        <v>220</v>
      </c>
      <c r="B1006" s="530"/>
      <c r="C1006" s="868">
        <f>IF(OR(C961=B961,C961=D961),"CHECK",0)</f>
        <v>0</v>
      </c>
      <c r="D1006" s="868">
        <f>IF(OR(D961=C961,D961=E961),"CHECK",0)</f>
        <v>0</v>
      </c>
      <c r="E1006" s="868">
        <f>IF(OR(E961=D961,E961=F961),"CHECK",0)</f>
        <v>0</v>
      </c>
      <c r="F1006" s="868">
        <f>IF(OR(F961=E961,F961=G961),"CHECK",0)</f>
        <v>0</v>
      </c>
      <c r="G1006" s="868">
        <f>IF(OR(G961=F961,G961=H961),"CHECK",0)</f>
        <v>0</v>
      </c>
      <c r="H1006" s="868">
        <f>IF(OR(H961=C961,H961=I961,H961=F961),"CHECK",0)</f>
        <v>0</v>
      </c>
      <c r="I1006" s="868">
        <f>IF(OR(I961=D961,I961=J961,I961=H961),"CHECK",0)</f>
        <v>0</v>
      </c>
      <c r="J1006" s="868">
        <f>IF(OR(J961=E961,J961=K961,J961=I961),"CHECK",0)</f>
        <v>0</v>
      </c>
      <c r="K1006" s="868">
        <f>IF(OR(K961=F961,K961=J961),"CHECK",0)</f>
        <v>0</v>
      </c>
      <c r="L1006" s="868">
        <f>IF(L961=G961,"CHECK",0)</f>
        <v>0</v>
      </c>
      <c r="M1006" s="868">
        <f>IF(OR(M961=H961,M961=N961,M961=K961),"CHECK",0)</f>
        <v>0</v>
      </c>
      <c r="N1006" s="868">
        <f>IF(OR(N961=I961,N961=O961,N961=M961),"CHECK",0)</f>
        <v>0</v>
      </c>
      <c r="O1006" s="868">
        <f>IF(OR(O961=J961,O961=P961,O961=N961),"CHECK",0)</f>
        <v>0</v>
      </c>
      <c r="P1006" s="868">
        <f>IF(OR(P961=K961,P961=O961),"CHECK",0)</f>
        <v>0</v>
      </c>
      <c r="Q1006" s="868">
        <f>IF(Q961=L961,"CHECK",0)</f>
        <v>0</v>
      </c>
      <c r="R1006" s="868">
        <f>IF(OR(R961=M961,R961=S961,R961=P961),"CHECK",0)</f>
        <v>0</v>
      </c>
      <c r="S1006" s="868">
        <f>IF(OR(S961=N961,S961=T961,S961=R961),"CHECK",0)</f>
        <v>0</v>
      </c>
      <c r="T1006" s="868">
        <f>IF(OR(T961=O961,T961=U961,T961=S961),"CHECK",0)</f>
        <v>0</v>
      </c>
      <c r="U1006" s="868">
        <f>IF(OR(U961=P961,U961=T961),"CHECK",0)</f>
        <v>0</v>
      </c>
      <c r="V1006" s="868">
        <f>IF(V961=Q961,"CHECK",0)</f>
        <v>0</v>
      </c>
      <c r="W1006" s="868">
        <f>IF(OR(W961=R961,W961=X961,W961=U961),"CHECK",0)</f>
        <v>0</v>
      </c>
      <c r="X1006" s="868">
        <f>IF(OR(X961=S961,X961=Y961,X961=W961),"CHECK",0)</f>
        <v>0</v>
      </c>
      <c r="Y1006" s="868">
        <f>IF(OR(Y961=T961,Y961=Z961,Y961=X961),"CHECK",0)</f>
        <v>0</v>
      </c>
      <c r="Z1006" s="868">
        <f>IF(OR(Z961=U961,Z961=Y961),"CHECK",0)</f>
        <v>0</v>
      </c>
      <c r="AA1006" s="868">
        <f>IF(AA961=V961,"CHECK",0)</f>
        <v>0</v>
      </c>
      <c r="AB1006" s="868">
        <f>IF(OR(AB961=W961,AB961=AC961,AB961=Z961),"CHECK",0)</f>
        <v>0</v>
      </c>
      <c r="AC1006" s="868">
        <f>IF(OR(AC961=X961,AC961=AD961,AC961=AB961),"CHECK",0)</f>
        <v>0</v>
      </c>
      <c r="AD1006" s="868">
        <f>IF(OR(AD961=Y961,AD961=AE961,AD961=AC961),"CHECK",0)</f>
        <v>0</v>
      </c>
      <c r="AE1006" s="868">
        <f>IF(OR(AE961=Z961,AE961=AD961),"CHECK",0)</f>
        <v>0</v>
      </c>
      <c r="AF1006" s="868">
        <f>IF(AF961=AA961,"CHECK",0)</f>
        <v>0</v>
      </c>
      <c r="AG1006" s="868">
        <f>IF(OR(AG961=AB961,AG961=AH961,AG961=AE961),"CHECK",0)</f>
        <v>0</v>
      </c>
      <c r="AH1006" s="868">
        <f>IF(OR(AH961=AC961,AH961=AI961,AH961=AG961),"CHECK",0)</f>
        <v>0</v>
      </c>
      <c r="AI1006" s="868">
        <f>IF(OR(AI961=AD961,AI961=AJ961,AI961=AH961),"CHECK",0)</f>
        <v>0</v>
      </c>
      <c r="AJ1006" s="868">
        <f>IF(OR(AJ961=AE961,AJ961=AI961),"CHECK",0)</f>
        <v>0</v>
      </c>
      <c r="AK1006" s="868">
        <f>IF(AK961=AF961,"CHECK",0)</f>
        <v>0</v>
      </c>
      <c r="AL1006" s="868">
        <f>IF(OR(AL961=AG961,AL961=AM961,AL961=AJ961),"CHECK",0)</f>
        <v>0</v>
      </c>
      <c r="AM1006" s="868">
        <f>IF(OR(AM961=AH961,AM961=AN961,AM961=AL961),"CHECK",0)</f>
        <v>0</v>
      </c>
      <c r="AN1006" s="868">
        <f>IF(OR(AN961=AI961,AN961=AO961,AN961=AM961),"CHECK",0)</f>
        <v>0</v>
      </c>
      <c r="AO1006" s="868">
        <f>IF(OR(AO961=AJ961,AO961=AN961),"CHECK",0)</f>
        <v>0</v>
      </c>
      <c r="AP1006" s="868">
        <f>IF(AP961=AK961,"CHECK",0)</f>
        <v>0</v>
      </c>
      <c r="AQ1006" s="868">
        <f>IF(OR(AQ961=AL961,AQ961=AR961,AQ961=AO961),"CHECK",0)</f>
        <v>0</v>
      </c>
      <c r="AR1006" s="868">
        <f>IF(OR(AR961=AM961,AR961=AS961,AR961=AQ961),"CHECK",0)</f>
        <v>0</v>
      </c>
      <c r="AS1006" s="868">
        <f>IF(OR(AS961=AN961,AS961=AT961,AS961=AR961),"CHECK",0)</f>
        <v>0</v>
      </c>
      <c r="AT1006" s="868">
        <f>IF(OR(AT961=AO961,AT961=AS961),"CHECK",0)</f>
        <v>0</v>
      </c>
      <c r="AU1006" s="868">
        <f>IF(AU961=AP961,"CHECK",0)</f>
        <v>0</v>
      </c>
      <c r="AV1006" s="868">
        <f>IF(OR(AV961=AQ961,AV961=AW961,AV961=AT961),"CHECK",0)</f>
        <v>0</v>
      </c>
      <c r="AW1006" s="868">
        <f>IF(OR(AW961=AR961,AW961=AX961,AW961=AV961),"CHECK",0)</f>
        <v>0</v>
      </c>
      <c r="AX1006" s="868">
        <f>IF(OR(AX961=AS961,AX961=AY961,AX961=AW961),"CHECK",0)</f>
        <v>0</v>
      </c>
      <c r="AY1006" s="868">
        <f>IF(OR(AY961=AT961,AY961=AX961),"CHECK",0)</f>
        <v>0</v>
      </c>
      <c r="AZ1006" s="868">
        <f>IF(AZ961=AU961,"CHECK",0)</f>
        <v>0</v>
      </c>
      <c r="BA1006" s="868">
        <f>IF(OR(BA961=AV961,BA961=BB961,BA961=AY961),"CHECK",0)</f>
        <v>0</v>
      </c>
      <c r="BB1006" s="868">
        <f>IF(OR(BB961=AW961,BB961=BC961,BB961=BA961),"CHECK",0)</f>
        <v>0</v>
      </c>
      <c r="BC1006" s="868">
        <f>IF(OR(BC961=AX961,BC961=BD961,BC961=BB961),"CHECK",0)</f>
        <v>0</v>
      </c>
      <c r="BD1006" s="868">
        <f>IF(OR(BD961=AY961,BD961=BC961),"CHECK",0)</f>
        <v>0</v>
      </c>
      <c r="BE1006" s="868">
        <f>IF(BE961=AZ961,"CHECK",0)</f>
        <v>0</v>
      </c>
      <c r="BF1006" s="868">
        <f>IF(OR(BF961=BA961,BF961=BG961,BF961=BD961),"CHECK",0)</f>
        <v>0</v>
      </c>
      <c r="BG1006" s="868">
        <f>IF(OR(BG961=BB961,BG961=BH961,BG961=BF961),"CHECK",0)</f>
        <v>0</v>
      </c>
      <c r="BH1006" s="869">
        <f ca="1">IF(OR(BH961=BC961,BH961=BI961,BH961=BG961),"CHECK",0)</f>
        <v>0</v>
      </c>
      <c r="BI1006" s="868"/>
      <c r="BJ1006" s="868"/>
      <c r="BK1006" s="868"/>
      <c r="BL1006" s="868"/>
      <c r="BM1006" s="868"/>
      <c r="BN1006" s="868"/>
      <c r="BO1006" s="868"/>
      <c r="BP1006" s="868"/>
      <c r="BQ1006" s="868"/>
      <c r="BR1006" s="868"/>
      <c r="BS1006" s="822"/>
    </row>
    <row r="1007" spans="1:71" s="22" customFormat="1" ht="15">
      <c r="A1007" s="822" t="s">
        <v>221</v>
      </c>
      <c r="B1007" s="530"/>
      <c r="C1007" s="868">
        <f t="shared" si="2706" ref="C1007:AH1007">IF(ISBLANK(INDEX(MO_IS_FirstRow,0,COLUMN())),0,ROUND(C934-C862,6))</f>
        <v>0</v>
      </c>
      <c r="D1007" s="868">
        <f t="shared" si="2706"/>
        <v>0</v>
      </c>
      <c r="E1007" s="868">
        <f t="shared" si="2706"/>
        <v>0</v>
      </c>
      <c r="F1007" s="868">
        <f t="shared" si="2706"/>
        <v>0</v>
      </c>
      <c r="G1007" s="868">
        <f t="shared" si="2706"/>
        <v>0</v>
      </c>
      <c r="H1007" s="868">
        <f t="shared" si="2706"/>
        <v>0</v>
      </c>
      <c r="I1007" s="868">
        <f t="shared" si="2706"/>
        <v>0</v>
      </c>
      <c r="J1007" s="868">
        <f t="shared" si="2706"/>
        <v>0</v>
      </c>
      <c r="K1007" s="868">
        <f t="shared" si="2706"/>
        <v>0</v>
      </c>
      <c r="L1007" s="868">
        <f t="shared" si="2706"/>
        <v>0</v>
      </c>
      <c r="M1007" s="868">
        <f t="shared" si="2706"/>
        <v>0</v>
      </c>
      <c r="N1007" s="868">
        <f t="shared" si="2706"/>
        <v>0</v>
      </c>
      <c r="O1007" s="868">
        <f t="shared" si="2706"/>
        <v>0</v>
      </c>
      <c r="P1007" s="868">
        <f t="shared" si="2706"/>
        <v>0</v>
      </c>
      <c r="Q1007" s="868">
        <f t="shared" si="2706"/>
        <v>0</v>
      </c>
      <c r="R1007" s="868">
        <f t="shared" si="2706"/>
        <v>0</v>
      </c>
      <c r="S1007" s="868">
        <f t="shared" si="2706"/>
        <v>0</v>
      </c>
      <c r="T1007" s="868">
        <f t="shared" si="2706"/>
        <v>0</v>
      </c>
      <c r="U1007" s="868">
        <f t="shared" si="2706"/>
        <v>0</v>
      </c>
      <c r="V1007" s="868">
        <f t="shared" si="2706"/>
        <v>0</v>
      </c>
      <c r="W1007" s="868">
        <f t="shared" si="2706"/>
        <v>0</v>
      </c>
      <c r="X1007" s="868">
        <f t="shared" si="2706"/>
        <v>0</v>
      </c>
      <c r="Y1007" s="868">
        <f t="shared" si="2706"/>
        <v>0</v>
      </c>
      <c r="Z1007" s="868">
        <f t="shared" si="2706"/>
        <v>0</v>
      </c>
      <c r="AA1007" s="868">
        <f t="shared" si="2706"/>
        <v>0</v>
      </c>
      <c r="AB1007" s="868">
        <f t="shared" si="2706"/>
        <v>0</v>
      </c>
      <c r="AC1007" s="868">
        <f t="shared" si="2706"/>
        <v>0</v>
      </c>
      <c r="AD1007" s="868">
        <f t="shared" si="2706"/>
        <v>0</v>
      </c>
      <c r="AE1007" s="868">
        <f t="shared" si="2706"/>
        <v>0</v>
      </c>
      <c r="AF1007" s="868">
        <f t="shared" si="2706"/>
        <v>0</v>
      </c>
      <c r="AG1007" s="868">
        <f t="shared" si="2706"/>
        <v>0</v>
      </c>
      <c r="AH1007" s="868">
        <f t="shared" si="2706"/>
        <v>0</v>
      </c>
      <c r="AI1007" s="868">
        <f t="shared" si="2707" ref="AI1007:BR1007">IF(ISBLANK(INDEX(MO_IS_FirstRow,0,COLUMN())),0,ROUND(AI934-AI862,6))</f>
        <v>0</v>
      </c>
      <c r="AJ1007" s="868">
        <f t="shared" si="2707"/>
        <v>0</v>
      </c>
      <c r="AK1007" s="868">
        <f t="shared" si="2707"/>
        <v>0</v>
      </c>
      <c r="AL1007" s="868">
        <f t="shared" si="2707"/>
        <v>0</v>
      </c>
      <c r="AM1007" s="868">
        <f t="shared" si="2707"/>
        <v>0</v>
      </c>
      <c r="AN1007" s="868">
        <f t="shared" si="2707"/>
        <v>0</v>
      </c>
      <c r="AO1007" s="868">
        <f t="shared" si="2707"/>
        <v>0</v>
      </c>
      <c r="AP1007" s="868">
        <f t="shared" si="2707"/>
        <v>0</v>
      </c>
      <c r="AQ1007" s="868">
        <f t="shared" si="2707"/>
        <v>0</v>
      </c>
      <c r="AR1007" s="868">
        <f t="shared" si="2707"/>
        <v>0</v>
      </c>
      <c r="AS1007" s="868">
        <f t="shared" si="2707"/>
        <v>0</v>
      </c>
      <c r="AT1007" s="868">
        <f t="shared" si="2707"/>
        <v>0</v>
      </c>
      <c r="AU1007" s="868">
        <f t="shared" si="2707"/>
        <v>0</v>
      </c>
      <c r="AV1007" s="868">
        <f t="shared" si="2707"/>
        <v>0</v>
      </c>
      <c r="AW1007" s="868">
        <f t="shared" si="2707"/>
        <v>0</v>
      </c>
      <c r="AX1007" s="868">
        <f t="shared" si="2707"/>
        <v>0</v>
      </c>
      <c r="AY1007" s="868">
        <f t="shared" si="2707"/>
        <v>0</v>
      </c>
      <c r="AZ1007" s="868">
        <f t="shared" si="2707"/>
        <v>0</v>
      </c>
      <c r="BA1007" s="868">
        <f t="shared" si="2707"/>
        <v>0</v>
      </c>
      <c r="BB1007" s="868">
        <f t="shared" si="2707"/>
        <v>0</v>
      </c>
      <c r="BC1007" s="868">
        <f t="shared" si="2707"/>
        <v>0</v>
      </c>
      <c r="BD1007" s="868">
        <f t="shared" si="2707"/>
        <v>0</v>
      </c>
      <c r="BE1007" s="868">
        <f t="shared" si="2707"/>
        <v>0</v>
      </c>
      <c r="BF1007" s="868">
        <f t="shared" si="2707"/>
        <v>0</v>
      </c>
      <c r="BG1007" s="868">
        <f t="shared" si="2707"/>
        <v>0</v>
      </c>
      <c r="BH1007" s="869">
        <f t="shared" si="2707"/>
        <v>0</v>
      </c>
      <c r="BI1007" s="868">
        <f t="shared" si="2707"/>
        <v>0</v>
      </c>
      <c r="BJ1007" s="868">
        <f t="shared" si="2707"/>
        <v>0</v>
      </c>
      <c r="BK1007" s="868">
        <f t="shared" si="2707"/>
        <v>0</v>
      </c>
      <c r="BL1007" s="868">
        <f t="shared" si="2707"/>
        <v>0</v>
      </c>
      <c r="BM1007" s="868">
        <f t="shared" si="2707"/>
        <v>0</v>
      </c>
      <c r="BN1007" s="868">
        <f t="shared" si="2707"/>
        <v>0</v>
      </c>
      <c r="BO1007" s="868">
        <f t="shared" si="2707"/>
        <v>0</v>
      </c>
      <c r="BP1007" s="868">
        <f t="shared" si="2707"/>
        <v>0</v>
      </c>
      <c r="BQ1007" s="868">
        <f t="shared" si="2707"/>
        <v>0</v>
      </c>
      <c r="BR1007" s="868">
        <f t="shared" si="2707"/>
        <v>0</v>
      </c>
      <c r="BS1007" s="822"/>
    </row>
    <row r="1008" spans="1:71" s="22" customFormat="1" ht="15">
      <c r="A1008" s="822" t="s">
        <v>222</v>
      </c>
      <c r="B1008" s="530"/>
      <c r="C1008" s="868"/>
      <c r="D1008" s="868"/>
      <c r="E1008" s="868"/>
      <c r="F1008" s="868"/>
      <c r="G1008" s="868"/>
      <c r="H1008" s="868"/>
      <c r="I1008" s="868"/>
      <c r="J1008" s="868"/>
      <c r="K1008" s="868"/>
      <c r="L1008" s="868">
        <f>ROUND(L689-SUM(H689,I689,J689,K689),6)</f>
        <v>0</v>
      </c>
      <c r="M1008" s="868"/>
      <c r="N1008" s="868"/>
      <c r="O1008" s="868"/>
      <c r="P1008" s="868"/>
      <c r="Q1008" s="868">
        <f>ROUND(Q689-SUM(M689,N689,O689,P689),6)</f>
        <v>0</v>
      </c>
      <c r="R1008" s="868"/>
      <c r="S1008" s="868"/>
      <c r="T1008" s="868"/>
      <c r="U1008" s="868"/>
      <c r="V1008" s="868">
        <f>ROUND(V689-SUM(R689,S689,T689,U689),6)</f>
        <v>0</v>
      </c>
      <c r="W1008" s="868"/>
      <c r="X1008" s="868"/>
      <c r="Y1008" s="868"/>
      <c r="Z1008" s="868"/>
      <c r="AA1008" s="868">
        <f>ROUND(AA689-SUM(W689,X689,Y689,Z689),6)</f>
        <v>0</v>
      </c>
      <c r="AB1008" s="868"/>
      <c r="AC1008" s="868"/>
      <c r="AD1008" s="868"/>
      <c r="AE1008" s="868"/>
      <c r="AF1008" s="868">
        <f>ROUND(AF689-SUM(AB689,AC689,AD689,AE689),6)</f>
        <v>0</v>
      </c>
      <c r="AG1008" s="868"/>
      <c r="AH1008" s="868"/>
      <c r="AI1008" s="868"/>
      <c r="AJ1008" s="868"/>
      <c r="AK1008" s="868">
        <f>ROUND(AK689-SUM(AG689,AH689,AI689,AJ689),6)</f>
        <v>0</v>
      </c>
      <c r="AL1008" s="868"/>
      <c r="AM1008" s="868"/>
      <c r="AN1008" s="868"/>
      <c r="AO1008" s="868"/>
      <c r="AP1008" s="868">
        <f>ROUND(AP689-SUM(AL689,AM689,AN689,AO689),6)</f>
        <v>0</v>
      </c>
      <c r="AQ1008" s="868"/>
      <c r="AR1008" s="868"/>
      <c r="AS1008" s="868"/>
      <c r="AT1008" s="868"/>
      <c r="AU1008" s="868">
        <f>ROUND(AU689-SUM(AQ689,AR689,AS689,AT689),6)</f>
        <v>0</v>
      </c>
      <c r="AV1008" s="868"/>
      <c r="AW1008" s="868"/>
      <c r="AX1008" s="868"/>
      <c r="AY1008" s="868"/>
      <c r="AZ1008" s="868">
        <f>ROUND(AZ689-SUM(AV689,AW689,AX689,AY689),6)</f>
        <v>0</v>
      </c>
      <c r="BA1008" s="868"/>
      <c r="BB1008" s="868"/>
      <c r="BC1008" s="868"/>
      <c r="BD1008" s="868"/>
      <c r="BE1008" s="868">
        <f>ROUND(BE689-SUM(BA689,BB689,BC689,BD689),6)</f>
        <v>0</v>
      </c>
      <c r="BF1008" s="868"/>
      <c r="BG1008" s="868"/>
      <c r="BH1008" s="869"/>
      <c r="BI1008" s="868"/>
      <c r="BJ1008" s="868">
        <f>ROUND(BJ689-SUM(BF689,BG689,BH689,BI689),6)</f>
        <v>0</v>
      </c>
      <c r="BK1008" s="868"/>
      <c r="BL1008" s="868"/>
      <c r="BM1008" s="868"/>
      <c r="BN1008" s="868"/>
      <c r="BO1008" s="868">
        <f>ROUND(BO689-SUM(BK689,BL689,BM689,BN689),6)</f>
        <v>0</v>
      </c>
      <c r="BP1008" s="868"/>
      <c r="BQ1008" s="868"/>
      <c r="BR1008" s="868"/>
      <c r="BS1008" s="822"/>
    </row>
    <row r="1009" spans="1:71" s="22" customFormat="1" ht="15">
      <c r="A1009" s="822" t="s">
        <v>223</v>
      </c>
      <c r="B1009" s="530"/>
      <c r="C1009" s="868"/>
      <c r="D1009" s="868"/>
      <c r="E1009" s="868"/>
      <c r="F1009" s="868"/>
      <c r="G1009" s="868"/>
      <c r="H1009" s="868"/>
      <c r="I1009" s="868"/>
      <c r="J1009" s="868"/>
      <c r="K1009" s="868"/>
      <c r="L1009" s="868">
        <f>ROUND(SUM(H699,I699,J699,K699)-INDEX(MO_RIS_NI_NONGAAP_Diluted,1,COLUMN()),6)</f>
        <v>0</v>
      </c>
      <c r="M1009" s="868"/>
      <c r="N1009" s="868"/>
      <c r="O1009" s="868"/>
      <c r="P1009" s="868"/>
      <c r="Q1009" s="868">
        <f>ROUND(SUM(M699,N699,O699,P699)-INDEX(MO_RIS_NI_NONGAAP_Diluted,1,COLUMN()),6)</f>
        <v>0</v>
      </c>
      <c r="R1009" s="868"/>
      <c r="S1009" s="868"/>
      <c r="T1009" s="868"/>
      <c r="U1009" s="868"/>
      <c r="V1009" s="868">
        <f>ROUND(SUM(R699,S699,T699,U699)-INDEX(MO_RIS_NI_NONGAAP_Diluted,1,COLUMN()),6)</f>
        <v>0</v>
      </c>
      <c r="W1009" s="868"/>
      <c r="X1009" s="868"/>
      <c r="Y1009" s="868"/>
      <c r="Z1009" s="868"/>
      <c r="AA1009" s="868">
        <f>ROUND(SUM(W699,X699,Y699,Z699)-INDEX(MO_RIS_NI_NONGAAP_Diluted,1,COLUMN()),6)</f>
        <v>0</v>
      </c>
      <c r="AB1009" s="868"/>
      <c r="AC1009" s="868"/>
      <c r="AD1009" s="868"/>
      <c r="AE1009" s="868"/>
      <c r="AF1009" s="868">
        <f>ROUND(SUM(AB699,AC699,AD699,AE699)-INDEX(MO_RIS_NI_NONGAAP_Diluted,1,COLUMN()),6)</f>
        <v>0</v>
      </c>
      <c r="AG1009" s="868"/>
      <c r="AH1009" s="868"/>
      <c r="AI1009" s="868"/>
      <c r="AJ1009" s="868"/>
      <c r="AK1009" s="868">
        <f>ROUND(SUM(AG699,AH699,AI699,AJ699)-INDEX(MO_RIS_NI_NONGAAP_Diluted,1,COLUMN()),6)</f>
        <v>0</v>
      </c>
      <c r="AL1009" s="868"/>
      <c r="AM1009" s="868"/>
      <c r="AN1009" s="868"/>
      <c r="AO1009" s="868"/>
      <c r="AP1009" s="868">
        <f>ROUND(SUM(AL699,AM699,AN699,AO699)-INDEX(MO_RIS_NI_NONGAAP_Diluted,1,COLUMN()),6)</f>
        <v>0</v>
      </c>
      <c r="AQ1009" s="868"/>
      <c r="AR1009" s="868"/>
      <c r="AS1009" s="868"/>
      <c r="AT1009" s="868"/>
      <c r="AU1009" s="868">
        <f>ROUND(SUM(AQ699,AR699,AS699,AT699)-INDEX(MO_RIS_NI_NONGAAP_Diluted,1,COLUMN()),6)</f>
        <v>0</v>
      </c>
      <c r="AV1009" s="868"/>
      <c r="AW1009" s="868"/>
      <c r="AX1009" s="868"/>
      <c r="AY1009" s="868"/>
      <c r="AZ1009" s="868">
        <f>ROUND(SUM(AV699,AW699,AX699,AY699)-INDEX(MO_RIS_NI_NONGAAP_Diluted,1,COLUMN()),6)</f>
        <v>0</v>
      </c>
      <c r="BA1009" s="868"/>
      <c r="BB1009" s="868"/>
      <c r="BC1009" s="868"/>
      <c r="BD1009" s="868"/>
      <c r="BE1009" s="868">
        <f>ROUND(SUM(BA699,BB699,BC699,BD699)-INDEX(MO_RIS_NI_NONGAAP_Diluted,1,COLUMN()),6)</f>
        <v>0</v>
      </c>
      <c r="BF1009" s="868"/>
      <c r="BG1009" s="868"/>
      <c r="BH1009" s="869"/>
      <c r="BI1009" s="868"/>
      <c r="BJ1009" s="868">
        <f>ROUND(SUM(BF699,BG699,BH699,BI699)-INDEX(MO_RIS_NI_NONGAAP_Diluted,1,COLUMN()),6)</f>
        <v>0</v>
      </c>
      <c r="BK1009" s="868"/>
      <c r="BL1009" s="868"/>
      <c r="BM1009" s="868"/>
      <c r="BN1009" s="868"/>
      <c r="BO1009" s="868">
        <f>ROUND(SUM(BK699,BL699,BM699,BN699)-INDEX(MO_RIS_NI_NONGAAP_Diluted,1,COLUMN()),6)</f>
        <v>0</v>
      </c>
      <c r="BP1009" s="868"/>
      <c r="BQ1009" s="868"/>
      <c r="BR1009" s="868"/>
      <c r="BS1009" s="822"/>
    </row>
    <row r="1010" spans="1:71" s="22" customFormat="1" ht="15">
      <c r="A1010" s="822" t="s">
        <v>224</v>
      </c>
      <c r="B1010" s="530"/>
      <c r="C1010" s="868"/>
      <c r="D1010" s="868"/>
      <c r="E1010" s="868"/>
      <c r="F1010" s="868"/>
      <c r="G1010" s="868"/>
      <c r="H1010" s="868"/>
      <c r="I1010" s="868"/>
      <c r="J1010" s="868"/>
      <c r="K1010" s="868"/>
      <c r="L1010" s="868">
        <f ca="1">ROUND(SUM(H879,I879,J879,K879)-SUM(OFFSET(INDEX(MO_CFS_CFO_BeforeWC,1,COLUMN()),ROW(INDEX(MO_SubSection_CFS_CFO,1,COLUMN()))-ROW(INDEX(MO_CFS_CFO_BeforeWC,1,COLUMN())),0,ROW(INDEX(MO_CFS_CFO_BeforeWC,1,COLUMN()))-ROW(INDEX(MO_SubSection_CFS_CFO,1,COLUMN())),1)),6)</f>
        <v>0</v>
      </c>
      <c r="M1010" s="868"/>
      <c r="N1010" s="868"/>
      <c r="O1010" s="868"/>
      <c r="P1010" s="868"/>
      <c r="Q1010" s="868">
        <f ca="1">ROUND(SUM(M879,N879,O879,P879)-SUM(OFFSET(INDEX(MO_CFS_CFO_BeforeWC,1,COLUMN()),ROW(INDEX(MO_SubSection_CFS_CFO,1,COLUMN()))-ROW(INDEX(MO_CFS_CFO_BeforeWC,1,COLUMN())),0,ROW(INDEX(MO_CFS_CFO_BeforeWC,1,COLUMN()))-ROW(INDEX(MO_SubSection_CFS_CFO,1,COLUMN())),1)),6)</f>
        <v>0</v>
      </c>
      <c r="R1010" s="868"/>
      <c r="S1010" s="868"/>
      <c r="T1010" s="868"/>
      <c r="U1010" s="868"/>
      <c r="V1010" s="868">
        <f ca="1">ROUND(SUM(R879,S879,T879,U879)-SUM(OFFSET(INDEX(MO_CFS_CFO_BeforeWC,1,COLUMN()),ROW(INDEX(MO_SubSection_CFS_CFO,1,COLUMN()))-ROW(INDEX(MO_CFS_CFO_BeforeWC,1,COLUMN())),0,ROW(INDEX(MO_CFS_CFO_BeforeWC,1,COLUMN()))-ROW(INDEX(MO_SubSection_CFS_CFO,1,COLUMN())),1)),6)</f>
        <v>0</v>
      </c>
      <c r="W1010" s="868"/>
      <c r="X1010" s="868"/>
      <c r="Y1010" s="868"/>
      <c r="Z1010" s="868"/>
      <c r="AA1010" s="868">
        <f ca="1">ROUND(SUM(W879,X879,Y879,Z879)-SUM(OFFSET(INDEX(MO_CFS_CFO_BeforeWC,1,COLUMN()),ROW(INDEX(MO_SubSection_CFS_CFO,1,COLUMN()))-ROW(INDEX(MO_CFS_CFO_BeforeWC,1,COLUMN())),0,ROW(INDEX(MO_CFS_CFO_BeforeWC,1,COLUMN()))-ROW(INDEX(MO_SubSection_CFS_CFO,1,COLUMN())),1)),6)</f>
        <v>0</v>
      </c>
      <c r="AB1010" s="868"/>
      <c r="AC1010" s="868"/>
      <c r="AD1010" s="868"/>
      <c r="AE1010" s="868"/>
      <c r="AF1010" s="868">
        <f ca="1">ROUND(SUM(AB879,AC879,AD879,AE879)-SUM(OFFSET(INDEX(MO_CFS_CFO_BeforeWC,1,COLUMN()),ROW(INDEX(MO_SubSection_CFS_CFO,1,COLUMN()))-ROW(INDEX(MO_CFS_CFO_BeforeWC,1,COLUMN())),0,ROW(INDEX(MO_CFS_CFO_BeforeWC,1,COLUMN()))-ROW(INDEX(MO_SubSection_CFS_CFO,1,COLUMN())),1)),6)</f>
        <v>0</v>
      </c>
      <c r="AG1010" s="868"/>
      <c r="AH1010" s="868"/>
      <c r="AI1010" s="868"/>
      <c r="AJ1010" s="868"/>
      <c r="AK1010" s="868">
        <f ca="1">ROUND(SUM(AG879,AH879,AI879,AJ879)-SUM(OFFSET(INDEX(MO_CFS_CFO_BeforeWC,1,COLUMN()),ROW(INDEX(MO_SubSection_CFS_CFO,1,COLUMN()))-ROW(INDEX(MO_CFS_CFO_BeforeWC,1,COLUMN())),0,ROW(INDEX(MO_CFS_CFO_BeforeWC,1,COLUMN()))-ROW(INDEX(MO_SubSection_CFS_CFO,1,COLUMN())),1)),6)</f>
        <v>0</v>
      </c>
      <c r="AL1010" s="868"/>
      <c r="AM1010" s="868"/>
      <c r="AN1010" s="868"/>
      <c r="AO1010" s="868"/>
      <c r="AP1010" s="868">
        <f ca="1">ROUND(SUM(AL879,AM879,AN879,AO879)-SUM(OFFSET(INDEX(MO_CFS_CFO_BeforeWC,1,COLUMN()),ROW(INDEX(MO_SubSection_CFS_CFO,1,COLUMN()))-ROW(INDEX(MO_CFS_CFO_BeforeWC,1,COLUMN())),0,ROW(INDEX(MO_CFS_CFO_BeforeWC,1,COLUMN()))-ROW(INDEX(MO_SubSection_CFS_CFO,1,COLUMN())),1)),6)</f>
        <v>0</v>
      </c>
      <c r="AQ1010" s="868"/>
      <c r="AR1010" s="868"/>
      <c r="AS1010" s="868"/>
      <c r="AT1010" s="868"/>
      <c r="AU1010" s="868">
        <f ca="1">ROUND(SUM(AQ879,AR879,AS879,AT879)-SUM(OFFSET(INDEX(MO_CFS_CFO_BeforeWC,1,COLUMN()),ROW(INDEX(MO_SubSection_CFS_CFO,1,COLUMN()))-ROW(INDEX(MO_CFS_CFO_BeforeWC,1,COLUMN())),0,ROW(INDEX(MO_CFS_CFO_BeforeWC,1,COLUMN()))-ROW(INDEX(MO_SubSection_CFS_CFO,1,COLUMN())),1)),6)</f>
        <v>0</v>
      </c>
      <c r="AV1010" s="868"/>
      <c r="AW1010" s="868"/>
      <c r="AX1010" s="868"/>
      <c r="AY1010" s="868"/>
      <c r="AZ1010" s="868">
        <f ca="1">ROUND(SUM(AV879,AW879,AX879,AY879)-SUM(OFFSET(INDEX(MO_CFS_CFO_BeforeWC,1,COLUMN()),ROW(INDEX(MO_SubSection_CFS_CFO,1,COLUMN()))-ROW(INDEX(MO_CFS_CFO_BeforeWC,1,COLUMN())),0,ROW(INDEX(MO_CFS_CFO_BeforeWC,1,COLUMN()))-ROW(INDEX(MO_SubSection_CFS_CFO,1,COLUMN())),1)),6)</f>
        <v>0</v>
      </c>
      <c r="BA1010" s="868"/>
      <c r="BB1010" s="868"/>
      <c r="BC1010" s="868"/>
      <c r="BD1010" s="868"/>
      <c r="BE1010" s="868">
        <f ca="1">ROUND(SUM(BA879,BB879,BC879,BD879)-SUM(OFFSET(INDEX(MO_CFS_CFO_BeforeWC,1,COLUMN()),ROW(INDEX(MO_SubSection_CFS_CFO,1,COLUMN()))-ROW(INDEX(MO_CFS_CFO_BeforeWC,1,COLUMN())),0,ROW(INDEX(MO_CFS_CFO_BeforeWC,1,COLUMN()))-ROW(INDEX(MO_SubSection_CFS_CFO,1,COLUMN())),1)),6)</f>
        <v>0</v>
      </c>
      <c r="BF1010" s="868"/>
      <c r="BG1010" s="868"/>
      <c r="BH1010" s="869"/>
      <c r="BI1010" s="868"/>
      <c r="BJ1010" s="868">
        <f ca="1">ROUND(SUM(BF879,BG879,BH879,BI879)-SUM(OFFSET(INDEX(MO_CFS_CFO_BeforeWC,1,COLUMN()),ROW(INDEX(MO_SubSection_CFS_CFO,1,COLUMN()))-ROW(INDEX(MO_CFS_CFO_BeforeWC,1,COLUMN())),0,ROW(INDEX(MO_CFS_CFO_BeforeWC,1,COLUMN()))-ROW(INDEX(MO_SubSection_CFS_CFO,1,COLUMN())),1)),6)</f>
        <v>0</v>
      </c>
      <c r="BK1010" s="868"/>
      <c r="BL1010" s="868"/>
      <c r="BM1010" s="868"/>
      <c r="BN1010" s="868"/>
      <c r="BO1010" s="868">
        <f ca="1">ROUND(SUM(BK879,BL879,BM879,BN879)-SUM(OFFSET(INDEX(MO_CFS_CFO_BeforeWC,1,COLUMN()),ROW(INDEX(MO_SubSection_CFS_CFO,1,COLUMN()))-ROW(INDEX(MO_CFS_CFO_BeforeWC,1,COLUMN())),0,ROW(INDEX(MO_CFS_CFO_BeforeWC,1,COLUMN()))-ROW(INDEX(MO_SubSection_CFS_CFO,1,COLUMN())),1)),6)</f>
        <v>0</v>
      </c>
      <c r="BP1010" s="868"/>
      <c r="BQ1010" s="868"/>
      <c r="BR1010" s="868"/>
      <c r="BS1010" s="822"/>
    </row>
    <row r="1011" spans="1:71" s="22" customFormat="1" ht="15">
      <c r="A1011" s="822" t="s">
        <v>225</v>
      </c>
      <c r="B1011" s="530"/>
      <c r="C1011" s="868"/>
      <c r="D1011" s="868"/>
      <c r="E1011" s="868"/>
      <c r="F1011" s="868"/>
      <c r="G1011" s="868"/>
      <c r="H1011" s="868"/>
      <c r="I1011" s="868"/>
      <c r="J1011" s="868"/>
      <c r="K1011" s="868"/>
      <c r="L1011" s="868">
        <f ca="1">ROUND(SUM(H889,I889,J889,K889)-SUM(OFFSET(INDEX(MO_CFS_CFO,1,COLUMN()),ROW(INDEX(MO_CFS_CFO_BeforeWC,1,COLUMN()))-ROW(INDEX(MO_CFS_CFO,1,COLUMN())),0,ROW(INDEX(MO_CFS_CFO,1,COLUMN()))-ROW(INDEX(MO_CFS_CFO_BeforeWC,1,COLUMN())),1)),6)</f>
        <v>0</v>
      </c>
      <c r="M1011" s="868"/>
      <c r="N1011" s="868"/>
      <c r="O1011" s="868"/>
      <c r="P1011" s="868"/>
      <c r="Q1011" s="868">
        <f ca="1">ROUND(SUM(M889,N889,O889,P889)-SUM(OFFSET(INDEX(MO_CFS_CFO,1,COLUMN()),ROW(INDEX(MO_CFS_CFO_BeforeWC,1,COLUMN()))-ROW(INDEX(MO_CFS_CFO,1,COLUMN())),0,ROW(INDEX(MO_CFS_CFO,1,COLUMN()))-ROW(INDEX(MO_CFS_CFO_BeforeWC,1,COLUMN())),1)),6)</f>
        <v>0</v>
      </c>
      <c r="R1011" s="868"/>
      <c r="S1011" s="868"/>
      <c r="T1011" s="868"/>
      <c r="U1011" s="868"/>
      <c r="V1011" s="868">
        <f ca="1">ROUND(SUM(R889,S889,T889,U889)-SUM(OFFSET(INDEX(MO_CFS_CFO,1,COLUMN()),ROW(INDEX(MO_CFS_CFO_BeforeWC,1,COLUMN()))-ROW(INDEX(MO_CFS_CFO,1,COLUMN())),0,ROW(INDEX(MO_CFS_CFO,1,COLUMN()))-ROW(INDEX(MO_CFS_CFO_BeforeWC,1,COLUMN())),1)),6)</f>
        <v>0</v>
      </c>
      <c r="W1011" s="868"/>
      <c r="X1011" s="868"/>
      <c r="Y1011" s="868"/>
      <c r="Z1011" s="868"/>
      <c r="AA1011" s="868">
        <f ca="1">ROUND(SUM(W889,X889,Y889,Z889)-SUM(OFFSET(INDEX(MO_CFS_CFO,1,COLUMN()),ROW(INDEX(MO_CFS_CFO_BeforeWC,1,COLUMN()))-ROW(INDEX(MO_CFS_CFO,1,COLUMN())),0,ROW(INDEX(MO_CFS_CFO,1,COLUMN()))-ROW(INDEX(MO_CFS_CFO_BeforeWC,1,COLUMN())),1)),6)</f>
        <v>0</v>
      </c>
      <c r="AB1011" s="868"/>
      <c r="AC1011" s="868"/>
      <c r="AD1011" s="868"/>
      <c r="AE1011" s="868"/>
      <c r="AF1011" s="868">
        <f ca="1">ROUND(SUM(AB889,AC889,AD889,AE889)-SUM(OFFSET(INDEX(MO_CFS_CFO,1,COLUMN()),ROW(INDEX(MO_CFS_CFO_BeforeWC,1,COLUMN()))-ROW(INDEX(MO_CFS_CFO,1,COLUMN())),0,ROW(INDEX(MO_CFS_CFO,1,COLUMN()))-ROW(INDEX(MO_CFS_CFO_BeforeWC,1,COLUMN())),1)),6)</f>
        <v>0</v>
      </c>
      <c r="AG1011" s="868"/>
      <c r="AH1011" s="868"/>
      <c r="AI1011" s="868"/>
      <c r="AJ1011" s="868"/>
      <c r="AK1011" s="868">
        <f ca="1">ROUND(SUM(AG889,AH889,AI889,AJ889)-SUM(OFFSET(INDEX(MO_CFS_CFO,1,COLUMN()),ROW(INDEX(MO_CFS_CFO_BeforeWC,1,COLUMN()))-ROW(INDEX(MO_CFS_CFO,1,COLUMN())),0,ROW(INDEX(MO_CFS_CFO,1,COLUMN()))-ROW(INDEX(MO_CFS_CFO_BeforeWC,1,COLUMN())),1)),6)</f>
        <v>0</v>
      </c>
      <c r="AL1011" s="868"/>
      <c r="AM1011" s="868"/>
      <c r="AN1011" s="868"/>
      <c r="AO1011" s="868"/>
      <c r="AP1011" s="868">
        <f ca="1">ROUND(SUM(AL889,AM889,AN889,AO889)-SUM(OFFSET(INDEX(MO_CFS_CFO,1,COLUMN()),ROW(INDEX(MO_CFS_CFO_BeforeWC,1,COLUMN()))-ROW(INDEX(MO_CFS_CFO,1,COLUMN())),0,ROW(INDEX(MO_CFS_CFO,1,COLUMN()))-ROW(INDEX(MO_CFS_CFO_BeforeWC,1,COLUMN())),1)),6)</f>
        <v>0</v>
      </c>
      <c r="AQ1011" s="868"/>
      <c r="AR1011" s="868"/>
      <c r="AS1011" s="868"/>
      <c r="AT1011" s="868"/>
      <c r="AU1011" s="868">
        <f ca="1">ROUND(SUM(AQ889,AR889,AS889,AT889)-SUM(OFFSET(INDEX(MO_CFS_CFO,1,COLUMN()),ROW(INDEX(MO_CFS_CFO_BeforeWC,1,COLUMN()))-ROW(INDEX(MO_CFS_CFO,1,COLUMN())),0,ROW(INDEX(MO_CFS_CFO,1,COLUMN()))-ROW(INDEX(MO_CFS_CFO_BeforeWC,1,COLUMN())),1)),6)</f>
        <v>0</v>
      </c>
      <c r="AV1011" s="868"/>
      <c r="AW1011" s="868"/>
      <c r="AX1011" s="868"/>
      <c r="AY1011" s="868"/>
      <c r="AZ1011" s="868">
        <f ca="1">ROUND(SUM(AV889,AW889,AX889,AY889)-SUM(OFFSET(INDEX(MO_CFS_CFO,1,COLUMN()),ROW(INDEX(MO_CFS_CFO_BeforeWC,1,COLUMN()))-ROW(INDEX(MO_CFS_CFO,1,COLUMN())),0,ROW(INDEX(MO_CFS_CFO,1,COLUMN()))-ROW(INDEX(MO_CFS_CFO_BeforeWC,1,COLUMN())),1)),6)</f>
        <v>0</v>
      </c>
      <c r="BA1011" s="868"/>
      <c r="BB1011" s="868"/>
      <c r="BC1011" s="868"/>
      <c r="BD1011" s="868"/>
      <c r="BE1011" s="868">
        <f ca="1">ROUND(SUM(BA889,BB889,BC889,BD889)-SUM(OFFSET(INDEX(MO_CFS_CFO,1,COLUMN()),ROW(INDEX(MO_CFS_CFO_BeforeWC,1,COLUMN()))-ROW(INDEX(MO_CFS_CFO,1,COLUMN())),0,ROW(INDEX(MO_CFS_CFO,1,COLUMN()))-ROW(INDEX(MO_CFS_CFO_BeforeWC,1,COLUMN())),1)),6)</f>
        <v>0</v>
      </c>
      <c r="BF1011" s="868"/>
      <c r="BG1011" s="868"/>
      <c r="BH1011" s="869"/>
      <c r="BI1011" s="868"/>
      <c r="BJ1011" s="868">
        <f ca="1">ROUND(SUM(BF889,BG889,BH889,BI889)-SUM(OFFSET(INDEX(MO_CFS_CFO,1,COLUMN()),ROW(INDEX(MO_CFS_CFO_BeforeWC,1,COLUMN()))-ROW(INDEX(MO_CFS_CFO,1,COLUMN())),0,ROW(INDEX(MO_CFS_CFO,1,COLUMN()))-ROW(INDEX(MO_CFS_CFO_BeforeWC,1,COLUMN())),1)),6)</f>
        <v>0</v>
      </c>
      <c r="BK1011" s="868"/>
      <c r="BL1011" s="868"/>
      <c r="BM1011" s="868"/>
      <c r="BN1011" s="868"/>
      <c r="BO1011" s="868">
        <f ca="1">ROUND(SUM(BK889,BL889,BM889,BN889)-SUM(OFFSET(INDEX(MO_CFS_CFO,1,COLUMN()),ROW(INDEX(MO_CFS_CFO_BeforeWC,1,COLUMN()))-ROW(INDEX(MO_CFS_CFO,1,COLUMN())),0,ROW(INDEX(MO_CFS_CFO,1,COLUMN()))-ROW(INDEX(MO_CFS_CFO_BeforeWC,1,COLUMN())),1)),6)</f>
        <v>0</v>
      </c>
      <c r="BP1011" s="868"/>
      <c r="BQ1011" s="868"/>
      <c r="BR1011" s="868"/>
      <c r="BS1011" s="822"/>
    </row>
    <row r="1012" spans="1:71" s="22" customFormat="1" ht="15">
      <c r="A1012" s="822" t="s">
        <v>226</v>
      </c>
      <c r="B1012" s="530"/>
      <c r="C1012" s="868"/>
      <c r="D1012" s="868"/>
      <c r="E1012" s="868"/>
      <c r="F1012" s="868"/>
      <c r="G1012" s="868"/>
      <c r="H1012" s="868"/>
      <c r="I1012" s="868"/>
      <c r="J1012" s="868"/>
      <c r="K1012" s="868"/>
      <c r="L1012" s="868">
        <f>ROUND(L911-SUM(H911,I911,J911,K911),6)</f>
        <v>0</v>
      </c>
      <c r="M1012" s="868"/>
      <c r="N1012" s="868"/>
      <c r="O1012" s="868"/>
      <c r="P1012" s="868"/>
      <c r="Q1012" s="868">
        <f>ROUND(Q911-SUM(M911,N911,O911,P911),6)</f>
        <v>0</v>
      </c>
      <c r="R1012" s="868"/>
      <c r="S1012" s="868"/>
      <c r="T1012" s="868"/>
      <c r="U1012" s="868"/>
      <c r="V1012" s="868">
        <f>ROUND(V911-SUM(R911,S911,T911,U911),6)</f>
        <v>0</v>
      </c>
      <c r="W1012" s="868"/>
      <c r="X1012" s="868"/>
      <c r="Y1012" s="868"/>
      <c r="Z1012" s="868"/>
      <c r="AA1012" s="868">
        <f>ROUND(AA911-SUM(W911,X911,Y911,Z911),6)</f>
        <v>0</v>
      </c>
      <c r="AB1012" s="868"/>
      <c r="AC1012" s="868"/>
      <c r="AD1012" s="868"/>
      <c r="AE1012" s="868"/>
      <c r="AF1012" s="868">
        <f>ROUND(AF911-SUM(AB911,AC911,AD911,AE911),6)</f>
        <v>0</v>
      </c>
      <c r="AG1012" s="868"/>
      <c r="AH1012" s="868"/>
      <c r="AI1012" s="868"/>
      <c r="AJ1012" s="868"/>
      <c r="AK1012" s="868">
        <f>ROUND(AK911-SUM(AG911,AH911,AI911,AJ911),6)</f>
        <v>0</v>
      </c>
      <c r="AL1012" s="868"/>
      <c r="AM1012" s="868"/>
      <c r="AN1012" s="868"/>
      <c r="AO1012" s="868"/>
      <c r="AP1012" s="868">
        <f>ROUND(AP911-SUM(AL911,AM911,AN911,AO911),6)</f>
        <v>0</v>
      </c>
      <c r="AQ1012" s="868"/>
      <c r="AR1012" s="868"/>
      <c r="AS1012" s="868"/>
      <c r="AT1012" s="868"/>
      <c r="AU1012" s="868">
        <f>ROUND(AU911-SUM(AQ911,AR911,AS911,AT911),6)</f>
        <v>0</v>
      </c>
      <c r="AV1012" s="868"/>
      <c r="AW1012" s="868"/>
      <c r="AX1012" s="868"/>
      <c r="AY1012" s="868"/>
      <c r="AZ1012" s="868">
        <f>ROUND(AZ911-SUM(AV911,AW911,AX911,AY911),6)</f>
        <v>0</v>
      </c>
      <c r="BA1012" s="868"/>
      <c r="BB1012" s="868"/>
      <c r="BC1012" s="868"/>
      <c r="BD1012" s="868"/>
      <c r="BE1012" s="868">
        <f>ROUND(BE911-SUM(BA911,BB911,BC911,BD911),6)</f>
        <v>0</v>
      </c>
      <c r="BF1012" s="868"/>
      <c r="BG1012" s="868"/>
      <c r="BH1012" s="869"/>
      <c r="BI1012" s="868"/>
      <c r="BJ1012" s="868">
        <f>ROUND(BJ911-SUM(BF911,BG911,BH911,BI911),6)</f>
        <v>0</v>
      </c>
      <c r="BK1012" s="868"/>
      <c r="BL1012" s="868"/>
      <c r="BM1012" s="868"/>
      <c r="BN1012" s="868"/>
      <c r="BO1012" s="868">
        <f>ROUND(BO911-SUM(BK911,BL911,BM911,BN911),6)</f>
        <v>0</v>
      </c>
      <c r="BP1012" s="868"/>
      <c r="BQ1012" s="868"/>
      <c r="BR1012" s="868"/>
      <c r="BS1012" s="822"/>
    </row>
    <row r="1013" spans="1:71" s="22" customFormat="1" ht="15">
      <c r="A1013" s="822" t="s">
        <v>227</v>
      </c>
      <c r="B1013" s="530"/>
      <c r="C1013" s="868"/>
      <c r="D1013" s="868"/>
      <c r="E1013" s="868"/>
      <c r="F1013" s="868"/>
      <c r="G1013" s="868"/>
      <c r="H1013" s="868"/>
      <c r="I1013" s="868"/>
      <c r="J1013" s="868"/>
      <c r="K1013" s="868"/>
      <c r="L1013" s="868">
        <f>ROUND(L927-SUM(H927,I927,J927,K927),6)</f>
        <v>0</v>
      </c>
      <c r="M1013" s="868"/>
      <c r="N1013" s="868"/>
      <c r="O1013" s="868"/>
      <c r="P1013" s="868"/>
      <c r="Q1013" s="868">
        <f>ROUND(Q927-SUM(M927,N927,O927,P927),6)</f>
        <v>0</v>
      </c>
      <c r="R1013" s="868"/>
      <c r="S1013" s="868"/>
      <c r="T1013" s="868"/>
      <c r="U1013" s="868"/>
      <c r="V1013" s="868">
        <f>ROUND(V927-SUM(R927,S927,T927,U927),6)</f>
        <v>0</v>
      </c>
      <c r="W1013" s="868"/>
      <c r="X1013" s="868"/>
      <c r="Y1013" s="868"/>
      <c r="Z1013" s="868"/>
      <c r="AA1013" s="868">
        <f>ROUND(AA927-SUM(W927,X927,Y927,Z927),6)</f>
        <v>0</v>
      </c>
      <c r="AB1013" s="868"/>
      <c r="AC1013" s="868"/>
      <c r="AD1013" s="868"/>
      <c r="AE1013" s="868"/>
      <c r="AF1013" s="868">
        <f>ROUND(AF927-SUM(AB927,AC927,AD927,AE927),6)</f>
        <v>0</v>
      </c>
      <c r="AG1013" s="868"/>
      <c r="AH1013" s="868"/>
      <c r="AI1013" s="868"/>
      <c r="AJ1013" s="868"/>
      <c r="AK1013" s="868">
        <f>ROUND(AK927-SUM(AG927,AH927,AI927,AJ927),6)</f>
        <v>0</v>
      </c>
      <c r="AL1013" s="868"/>
      <c r="AM1013" s="868"/>
      <c r="AN1013" s="868"/>
      <c r="AO1013" s="868"/>
      <c r="AP1013" s="868">
        <f>ROUND(AP927-SUM(AL927,AM927,AN927,AO927),6)</f>
        <v>0</v>
      </c>
      <c r="AQ1013" s="868"/>
      <c r="AR1013" s="868"/>
      <c r="AS1013" s="868"/>
      <c r="AT1013" s="868"/>
      <c r="AU1013" s="868">
        <f>ROUND(AU927-SUM(AQ927,AR927,AS927,AT927),6)</f>
        <v>0</v>
      </c>
      <c r="AV1013" s="868"/>
      <c r="AW1013" s="868"/>
      <c r="AX1013" s="868"/>
      <c r="AY1013" s="868"/>
      <c r="AZ1013" s="868">
        <f>ROUND(AZ927-SUM(AV927,AW927,AX927,AY927),6)</f>
        <v>0</v>
      </c>
      <c r="BA1013" s="868"/>
      <c r="BB1013" s="868"/>
      <c r="BC1013" s="868"/>
      <c r="BD1013" s="868"/>
      <c r="BE1013" s="868">
        <f>ROUND(BE927-SUM(BA927,BB927,BC927,BD927),6)</f>
        <v>0</v>
      </c>
      <c r="BF1013" s="868"/>
      <c r="BG1013" s="868"/>
      <c r="BH1013" s="869"/>
      <c r="BI1013" s="868"/>
      <c r="BJ1013" s="868">
        <f ca="1">ROUND(BJ927-SUM(BF927,BG927,BH927,BI927),6)</f>
        <v>0</v>
      </c>
      <c r="BK1013" s="868"/>
      <c r="BL1013" s="868"/>
      <c r="BM1013" s="868"/>
      <c r="BN1013" s="868"/>
      <c r="BO1013" s="868">
        <f ca="1">ROUND(BO927-SUM(BK927,BL927,BM927,BN927),6)</f>
        <v>0</v>
      </c>
      <c r="BP1013" s="868"/>
      <c r="BQ1013" s="868"/>
      <c r="BR1013" s="868"/>
      <c r="BS1013" s="822"/>
    </row>
    <row r="1014" spans="1:71" s="22" customFormat="1" ht="15">
      <c r="A1014" s="819"/>
      <c r="B1014" s="819"/>
      <c r="C1014" s="840"/>
      <c r="D1014" s="840"/>
      <c r="E1014" s="840"/>
      <c r="F1014" s="840"/>
      <c r="G1014" s="840"/>
      <c r="H1014" s="840"/>
      <c r="I1014" s="840"/>
      <c r="J1014" s="840"/>
      <c r="K1014" s="840"/>
      <c r="L1014" s="840"/>
      <c r="M1014" s="840"/>
      <c r="N1014" s="840"/>
      <c r="O1014" s="840"/>
      <c r="P1014" s="840"/>
      <c r="Q1014" s="840"/>
      <c r="R1014" s="840"/>
      <c r="S1014" s="840"/>
      <c r="T1014" s="840"/>
      <c r="U1014" s="840"/>
      <c r="V1014" s="840"/>
      <c r="W1014" s="840"/>
      <c r="X1014" s="840"/>
      <c r="Y1014" s="840"/>
      <c r="Z1014" s="840"/>
      <c r="AA1014" s="840"/>
      <c r="AB1014" s="840"/>
      <c r="AC1014" s="840"/>
      <c r="AD1014" s="840"/>
      <c r="AE1014" s="840"/>
      <c r="AF1014" s="840"/>
      <c r="AG1014" s="840"/>
      <c r="AH1014" s="840"/>
      <c r="AI1014" s="840"/>
      <c r="AJ1014" s="840"/>
      <c r="AK1014" s="840"/>
      <c r="AL1014" s="840"/>
      <c r="AM1014" s="840"/>
      <c r="AN1014" s="840"/>
      <c r="AO1014" s="840"/>
      <c r="AP1014" s="840"/>
      <c r="AQ1014" s="840"/>
      <c r="AR1014" s="840"/>
      <c r="AS1014" s="840"/>
      <c r="AT1014" s="840"/>
      <c r="AU1014" s="840"/>
      <c r="AV1014" s="840"/>
      <c r="AW1014" s="840"/>
      <c r="AX1014" s="840"/>
      <c r="AY1014" s="840"/>
      <c r="AZ1014" s="840"/>
      <c r="BA1014" s="840"/>
      <c r="BB1014" s="840"/>
      <c r="BC1014" s="840"/>
      <c r="BD1014" s="840"/>
      <c r="BE1014" s="840"/>
      <c r="BF1014" s="840"/>
      <c r="BG1014" s="840"/>
      <c r="BH1014" s="841"/>
      <c r="BI1014" s="840"/>
      <c r="BJ1014" s="840"/>
      <c r="BK1014" s="840"/>
      <c r="BL1014" s="840"/>
      <c r="BM1014" s="840"/>
      <c r="BN1014" s="840"/>
      <c r="BO1014" s="840"/>
      <c r="BP1014" s="840"/>
      <c r="BQ1014" s="840"/>
      <c r="BR1014" s="840"/>
      <c r="BS1014" s="822"/>
    </row>
    <row r="1015" spans="1:71" s="17" customFormat="1" ht="15">
      <c r="A1015" s="824" t="s">
        <v>228</v>
      </c>
      <c r="B1015" s="824"/>
      <c r="C1015" s="824"/>
      <c r="D1015" s="824"/>
      <c r="E1015" s="824"/>
      <c r="F1015" s="824"/>
      <c r="G1015" s="824"/>
      <c r="H1015" s="824"/>
      <c r="I1015" s="824"/>
      <c r="J1015" s="824"/>
      <c r="K1015" s="824"/>
      <c r="L1015" s="824"/>
      <c r="M1015" s="824"/>
      <c r="N1015" s="824"/>
      <c r="O1015" s="824"/>
      <c r="P1015" s="824"/>
      <c r="Q1015" s="824"/>
      <c r="R1015" s="824"/>
      <c r="S1015" s="824"/>
      <c r="T1015" s="824"/>
      <c r="U1015" s="824"/>
      <c r="V1015" s="824"/>
      <c r="W1015" s="824"/>
      <c r="X1015" s="824"/>
      <c r="Y1015" s="824"/>
      <c r="Z1015" s="824"/>
      <c r="AA1015" s="824"/>
      <c r="AB1015" s="824"/>
      <c r="AC1015" s="824"/>
      <c r="AD1015" s="824"/>
      <c r="AE1015" s="824"/>
      <c r="AF1015" s="824"/>
      <c r="AG1015" s="824"/>
      <c r="AH1015" s="824"/>
      <c r="AI1015" s="824"/>
      <c r="AJ1015" s="824"/>
      <c r="AK1015" s="824"/>
      <c r="AL1015" s="824"/>
      <c r="AM1015" s="824"/>
      <c r="AN1015" s="824"/>
      <c r="AO1015" s="824"/>
      <c r="AP1015" s="824"/>
      <c r="AQ1015" s="824"/>
      <c r="AR1015" s="824"/>
      <c r="AS1015" s="824"/>
      <c r="AT1015" s="824"/>
      <c r="AU1015" s="824"/>
      <c r="AV1015" s="824"/>
      <c r="AW1015" s="824"/>
      <c r="AX1015" s="824"/>
      <c r="AY1015" s="824"/>
      <c r="AZ1015" s="824"/>
      <c r="BA1015" s="824"/>
      <c r="BB1015" s="824"/>
      <c r="BC1015" s="824"/>
      <c r="BD1015" s="824"/>
      <c r="BE1015" s="824"/>
      <c r="BF1015" s="824"/>
      <c r="BG1015" s="824"/>
      <c r="BH1015" s="825"/>
      <c r="BI1015" s="824"/>
      <c r="BJ1015" s="824"/>
      <c r="BK1015" s="824"/>
      <c r="BL1015" s="824"/>
      <c r="BM1015" s="824"/>
      <c r="BN1015" s="824"/>
      <c r="BO1015" s="824"/>
      <c r="BP1015" s="824"/>
      <c r="BQ1015" s="824"/>
      <c r="BR1015" s="824"/>
      <c r="BS1015" s="457"/>
    </row>
    <row r="1016" spans="1:71" s="22" customFormat="1" ht="15">
      <c r="A1016" s="531"/>
      <c r="B1016" s="819"/>
      <c r="C1016" s="312"/>
      <c r="D1016" s="312"/>
      <c r="E1016" s="819"/>
      <c r="F1016" s="819"/>
      <c r="G1016" s="819"/>
      <c r="H1016" s="819"/>
      <c r="I1016" s="819"/>
      <c r="J1016" s="819"/>
      <c r="K1016" s="819"/>
      <c r="L1016" s="819"/>
      <c r="M1016" s="819"/>
      <c r="N1016" s="819"/>
      <c r="O1016" s="819"/>
      <c r="P1016" s="819"/>
      <c r="Q1016" s="819"/>
      <c r="R1016" s="819"/>
      <c r="S1016" s="819"/>
      <c r="T1016" s="819"/>
      <c r="U1016" s="819"/>
      <c r="V1016" s="819"/>
      <c r="W1016" s="819"/>
      <c r="X1016" s="819"/>
      <c r="Y1016" s="819"/>
      <c r="Z1016" s="819"/>
      <c r="AA1016" s="819"/>
      <c r="AB1016" s="819"/>
      <c r="AC1016" s="819"/>
      <c r="AD1016" s="819"/>
      <c r="AE1016" s="819"/>
      <c r="AF1016" s="819"/>
      <c r="AG1016" s="819"/>
      <c r="AH1016" s="819"/>
      <c r="AI1016" s="819"/>
      <c r="AJ1016" s="819"/>
      <c r="AK1016" s="819"/>
      <c r="AL1016" s="819"/>
      <c r="AM1016" s="819"/>
      <c r="AN1016" s="819"/>
      <c r="AO1016" s="819"/>
      <c r="AP1016" s="819"/>
      <c r="AQ1016" s="819"/>
      <c r="AR1016" s="819"/>
      <c r="AS1016" s="819"/>
      <c r="AT1016" s="819"/>
      <c r="AU1016" s="819"/>
      <c r="AV1016" s="819"/>
      <c r="AW1016" s="819"/>
      <c r="AX1016" s="819"/>
      <c r="AY1016" s="819"/>
      <c r="AZ1016" s="819"/>
      <c r="BA1016" s="819"/>
      <c r="BB1016" s="819"/>
      <c r="BC1016" s="819"/>
      <c r="BD1016" s="819"/>
      <c r="BE1016" s="819"/>
      <c r="BF1016" s="819"/>
      <c r="BG1016" s="819"/>
      <c r="BH1016" s="820"/>
      <c r="BI1016" s="819"/>
      <c r="BJ1016" s="819"/>
      <c r="BK1016" s="819"/>
      <c r="BL1016" s="819"/>
      <c r="BM1016" s="819"/>
      <c r="BN1016" s="819"/>
      <c r="BO1016" s="819"/>
      <c r="BP1016" s="819"/>
      <c r="BQ1016" s="819"/>
      <c r="BR1016" s="819"/>
      <c r="BS1016" s="822"/>
    </row>
    <row r="1017" spans="1:71" s="51" customFormat="1" ht="15">
      <c r="A1017" s="367" t="s">
        <v>229</v>
      </c>
      <c r="B1017" s="532"/>
      <c r="C1017" s="533"/>
      <c r="D1017" s="533"/>
      <c r="E1017" s="128"/>
      <c r="F1017" s="128"/>
      <c r="G1017" s="128"/>
      <c r="H1017" s="128"/>
      <c r="I1017" s="128"/>
      <c r="J1017" s="128"/>
      <c r="K1017" s="128"/>
      <c r="L1017" s="128"/>
      <c r="M1017" s="128"/>
      <c r="N1017" s="128"/>
      <c r="O1017" s="128"/>
      <c r="P1017" s="128"/>
      <c r="Q1017" s="128"/>
      <c r="R1017" s="128"/>
      <c r="S1017" s="128"/>
      <c r="T1017" s="128"/>
      <c r="U1017" s="128"/>
      <c r="V1017" s="128"/>
      <c r="W1017" s="128"/>
      <c r="X1017" s="128"/>
      <c r="Y1017" s="128"/>
      <c r="Z1017" s="128"/>
      <c r="AA1017" s="128"/>
      <c r="AB1017" s="128"/>
      <c r="AC1017" s="128"/>
      <c r="AD1017" s="128"/>
      <c r="AE1017" s="128"/>
      <c r="AF1017" s="128"/>
      <c r="AG1017" s="128"/>
      <c r="AH1017" s="128"/>
      <c r="AI1017" s="128"/>
      <c r="AJ1017" s="128"/>
      <c r="AK1017" s="128"/>
      <c r="AL1017" s="128"/>
      <c r="AM1017" s="128"/>
      <c r="AN1017" s="128"/>
      <c r="AO1017" s="128"/>
      <c r="AP1017" s="128"/>
      <c r="AQ1017" s="128"/>
      <c r="AR1017" s="128"/>
      <c r="AS1017" s="128"/>
      <c r="AT1017" s="128"/>
      <c r="AU1017" s="128"/>
      <c r="AV1017" s="128"/>
      <c r="AW1017" s="128"/>
      <c r="AX1017" s="128"/>
      <c r="AY1017" s="128"/>
      <c r="AZ1017" s="128"/>
      <c r="BA1017" s="128"/>
      <c r="BB1017" s="128"/>
      <c r="BC1017" s="128"/>
      <c r="BD1017" s="128"/>
      <c r="BE1017" s="128"/>
      <c r="BF1017" s="128"/>
      <c r="BG1017" s="128"/>
      <c r="BH1017" s="465"/>
      <c r="BI1017" s="128"/>
      <c r="BJ1017" s="128"/>
      <c r="BK1017" s="128"/>
      <c r="BL1017" s="128"/>
      <c r="BM1017" s="128"/>
      <c r="BN1017" s="128"/>
      <c r="BO1017" s="128"/>
      <c r="BP1017" s="128"/>
      <c r="BQ1017" s="128"/>
      <c r="BR1017" s="128"/>
      <c r="BS1017" s="57"/>
    </row>
    <row r="1018" spans="1:71" s="51" customFormat="1" ht="15">
      <c r="A1018" s="798" t="s">
        <v>882</v>
      </c>
      <c r="B1018" s="534"/>
      <c r="C1018" s="535"/>
      <c r="D1018" s="535"/>
      <c r="E1018" s="92"/>
      <c r="F1018" s="92"/>
      <c r="G1018" s="92"/>
      <c r="H1018" s="92"/>
      <c r="I1018" s="92"/>
      <c r="J1018" s="92"/>
      <c r="K1018" s="92"/>
      <c r="L1018" s="92"/>
      <c r="M1018" s="92"/>
      <c r="N1018" s="92"/>
      <c r="O1018" s="92"/>
      <c r="P1018" s="92"/>
      <c r="Q1018" s="92"/>
      <c r="R1018" s="92"/>
      <c r="S1018" s="92"/>
      <c r="T1018" s="92"/>
      <c r="U1018" s="92"/>
      <c r="V1018" s="92"/>
      <c r="W1018" s="92"/>
      <c r="X1018" s="92"/>
      <c r="Y1018" s="92"/>
      <c r="Z1018" s="92"/>
      <c r="AA1018" s="92"/>
      <c r="AB1018" s="92"/>
      <c r="AC1018" s="92"/>
      <c r="AD1018" s="92"/>
      <c r="AE1018" s="92"/>
      <c r="AF1018" s="92"/>
      <c r="AG1018" s="92"/>
      <c r="AH1018" s="92"/>
      <c r="AI1018" s="92"/>
      <c r="AJ1018" s="92"/>
      <c r="AK1018" s="92"/>
      <c r="AL1018" s="92"/>
      <c r="AM1018" s="92"/>
      <c r="AN1018" s="92"/>
      <c r="AO1018" s="92"/>
      <c r="AP1018" s="92"/>
      <c r="AQ1018" s="92"/>
      <c r="AR1018" s="92"/>
      <c r="AS1018" s="92"/>
      <c r="AT1018" s="92"/>
      <c r="AU1018" s="92"/>
      <c r="AV1018" s="92"/>
      <c r="AW1018" s="92"/>
      <c r="AX1018" s="92"/>
      <c r="AY1018" s="92"/>
      <c r="AZ1018" s="92"/>
      <c r="BA1018" s="92"/>
      <c r="BB1018" s="92"/>
      <c r="BC1018" s="92"/>
      <c r="BD1018" s="92"/>
      <c r="BE1018" s="92"/>
      <c r="BF1018" s="92"/>
      <c r="BG1018" s="92"/>
      <c r="BH1018" s="464"/>
      <c r="BI1018" s="92"/>
      <c r="BJ1018" s="92"/>
      <c r="BK1018" s="92"/>
      <c r="BL1018" s="92"/>
      <c r="BM1018" s="92"/>
      <c r="BN1018" s="92"/>
      <c r="BO1018" s="92"/>
      <c r="BP1018" s="92"/>
      <c r="BQ1018" s="92"/>
      <c r="BR1018" s="92"/>
      <c r="BS1018" s="57"/>
    </row>
    <row r="1019" spans="1:71" s="300" customFormat="1" ht="15">
      <c r="A1019" s="368" t="s">
        <v>230</v>
      </c>
      <c r="B1019" s="534"/>
      <c r="C1019" s="535"/>
      <c r="D1019" s="535"/>
      <c r="E1019" s="92"/>
      <c r="F1019" s="92"/>
      <c r="G1019" s="92"/>
      <c r="H1019" s="92"/>
      <c r="I1019" s="92"/>
      <c r="J1019" s="92"/>
      <c r="K1019" s="92"/>
      <c r="L1019" s="92"/>
      <c r="M1019" s="92"/>
      <c r="N1019" s="92"/>
      <c r="O1019" s="92"/>
      <c r="P1019" s="92"/>
      <c r="Q1019" s="92"/>
      <c r="R1019" s="92"/>
      <c r="S1019" s="92"/>
      <c r="T1019" s="92"/>
      <c r="U1019" s="92"/>
      <c r="V1019" s="92"/>
      <c r="W1019" s="92"/>
      <c r="X1019" s="92"/>
      <c r="Y1019" s="92"/>
      <c r="Z1019" s="92"/>
      <c r="AA1019" s="92"/>
      <c r="AB1019" s="92"/>
      <c r="AC1019" s="92"/>
      <c r="AD1019" s="92"/>
      <c r="AE1019" s="92"/>
      <c r="AF1019" s="92"/>
      <c r="AG1019" s="92"/>
      <c r="AH1019" s="92"/>
      <c r="AI1019" s="92"/>
      <c r="AJ1019" s="92"/>
      <c r="AK1019" s="92"/>
      <c r="AL1019" s="92"/>
      <c r="AM1019" s="92"/>
      <c r="AN1019" s="92"/>
      <c r="AO1019" s="92"/>
      <c r="AP1019" s="92"/>
      <c r="AQ1019" s="92"/>
      <c r="AR1019" s="92"/>
      <c r="AS1019" s="92"/>
      <c r="AT1019" s="92"/>
      <c r="AU1019" s="92"/>
      <c r="AV1019" s="92"/>
      <c r="AW1019" s="92"/>
      <c r="AX1019" s="92"/>
      <c r="AY1019" s="92"/>
      <c r="AZ1019" s="92"/>
      <c r="BA1019" s="92"/>
      <c r="BB1019" s="92"/>
      <c r="BC1019" s="92"/>
      <c r="BD1019" s="92"/>
      <c r="BE1019" s="92"/>
      <c r="BF1019" s="92"/>
      <c r="BG1019" s="92"/>
      <c r="BH1019" s="464"/>
      <c r="BI1019" s="92"/>
      <c r="BJ1019" s="92"/>
      <c r="BK1019" s="92"/>
      <c r="BL1019" s="92"/>
      <c r="BM1019" s="92"/>
      <c r="BN1019" s="92"/>
      <c r="BO1019" s="92"/>
      <c r="BP1019" s="92"/>
      <c r="BQ1019" s="92"/>
      <c r="BR1019" s="92"/>
      <c r="BS1019" s="305"/>
    </row>
    <row r="1020" spans="1:71" s="300" customFormat="1" ht="15">
      <c r="A1020" s="369" t="s">
        <v>231</v>
      </c>
      <c r="B1020" s="534"/>
      <c r="C1020" s="535"/>
      <c r="D1020" s="535"/>
      <c r="E1020" s="92"/>
      <c r="F1020" s="92"/>
      <c r="G1020" s="92"/>
      <c r="H1020" s="92"/>
      <c r="I1020" s="92"/>
      <c r="J1020" s="92"/>
      <c r="K1020" s="92"/>
      <c r="L1020" s="92"/>
      <c r="M1020" s="92"/>
      <c r="N1020" s="92"/>
      <c r="O1020" s="92"/>
      <c r="P1020" s="92"/>
      <c r="Q1020" s="92"/>
      <c r="R1020" s="92"/>
      <c r="S1020" s="92"/>
      <c r="T1020" s="92"/>
      <c r="U1020" s="92"/>
      <c r="V1020" s="92"/>
      <c r="W1020" s="92"/>
      <c r="X1020" s="92"/>
      <c r="Y1020" s="92"/>
      <c r="Z1020" s="92"/>
      <c r="AA1020" s="92"/>
      <c r="AB1020" s="92"/>
      <c r="AC1020" s="92"/>
      <c r="AD1020" s="92"/>
      <c r="AE1020" s="92"/>
      <c r="AF1020" s="92"/>
      <c r="AG1020" s="92"/>
      <c r="AH1020" s="92"/>
      <c r="AI1020" s="92"/>
      <c r="AJ1020" s="92"/>
      <c r="AK1020" s="92"/>
      <c r="AL1020" s="92"/>
      <c r="AM1020" s="92"/>
      <c r="AN1020" s="92"/>
      <c r="AO1020" s="92"/>
      <c r="AP1020" s="92"/>
      <c r="AQ1020" s="92"/>
      <c r="AR1020" s="92"/>
      <c r="AS1020" s="92"/>
      <c r="AT1020" s="92"/>
      <c r="AU1020" s="92"/>
      <c r="AV1020" s="92"/>
      <c r="AW1020" s="92"/>
      <c r="AX1020" s="92"/>
      <c r="AY1020" s="92"/>
      <c r="AZ1020" s="92"/>
      <c r="BA1020" s="92"/>
      <c r="BB1020" s="92"/>
      <c r="BC1020" s="92"/>
      <c r="BD1020" s="92"/>
      <c r="BE1020" s="92"/>
      <c r="BF1020" s="92"/>
      <c r="BG1020" s="92"/>
      <c r="BH1020" s="464"/>
      <c r="BI1020" s="92"/>
      <c r="BJ1020" s="92"/>
      <c r="BK1020" s="92"/>
      <c r="BL1020" s="92"/>
      <c r="BM1020" s="92"/>
      <c r="BN1020" s="92"/>
      <c r="BO1020" s="92"/>
      <c r="BP1020" s="92"/>
      <c r="BQ1020" s="92"/>
      <c r="BR1020" s="92"/>
      <c r="BS1020" s="305"/>
    </row>
    <row r="1021" spans="1:71" s="300" customFormat="1" ht="15">
      <c r="A1021" s="370" t="s">
        <v>232</v>
      </c>
      <c r="B1021" s="534"/>
      <c r="C1021" s="535"/>
      <c r="D1021" s="535"/>
      <c r="E1021" s="92"/>
      <c r="F1021" s="92"/>
      <c r="G1021" s="92"/>
      <c r="H1021" s="92"/>
      <c r="I1021" s="92"/>
      <c r="J1021" s="92"/>
      <c r="K1021" s="92"/>
      <c r="L1021" s="92"/>
      <c r="M1021" s="92"/>
      <c r="N1021" s="92"/>
      <c r="O1021" s="92"/>
      <c r="P1021" s="92"/>
      <c r="Q1021" s="92"/>
      <c r="R1021" s="92"/>
      <c r="S1021" s="92"/>
      <c r="T1021" s="92"/>
      <c r="U1021" s="92"/>
      <c r="V1021" s="92"/>
      <c r="W1021" s="92"/>
      <c r="X1021" s="92"/>
      <c r="Y1021" s="92"/>
      <c r="Z1021" s="92"/>
      <c r="AA1021" s="92"/>
      <c r="AB1021" s="92"/>
      <c r="AC1021" s="92"/>
      <c r="AD1021" s="92"/>
      <c r="AE1021" s="92"/>
      <c r="AF1021" s="92"/>
      <c r="AG1021" s="92"/>
      <c r="AH1021" s="92"/>
      <c r="AI1021" s="92"/>
      <c r="AJ1021" s="92"/>
      <c r="AK1021" s="92"/>
      <c r="AL1021" s="92"/>
      <c r="AM1021" s="92"/>
      <c r="AN1021" s="92"/>
      <c r="AO1021" s="92"/>
      <c r="AP1021" s="92"/>
      <c r="AQ1021" s="92"/>
      <c r="AR1021" s="92"/>
      <c r="AS1021" s="92"/>
      <c r="AT1021" s="92"/>
      <c r="AU1021" s="92"/>
      <c r="AV1021" s="92"/>
      <c r="AW1021" s="92"/>
      <c r="AX1021" s="92"/>
      <c r="AY1021" s="92"/>
      <c r="AZ1021" s="92"/>
      <c r="BA1021" s="92"/>
      <c r="BB1021" s="92"/>
      <c r="BC1021" s="92"/>
      <c r="BD1021" s="92"/>
      <c r="BE1021" s="92"/>
      <c r="BF1021" s="92"/>
      <c r="BG1021" s="92"/>
      <c r="BH1021" s="464"/>
      <c r="BI1021" s="92"/>
      <c r="BJ1021" s="92"/>
      <c r="BK1021" s="92"/>
      <c r="BL1021" s="92"/>
      <c r="BM1021" s="92"/>
      <c r="BN1021" s="92"/>
      <c r="BO1021" s="92"/>
      <c r="BP1021" s="92"/>
      <c r="BQ1021" s="92"/>
      <c r="BR1021" s="92"/>
      <c r="BS1021" s="305"/>
    </row>
    <row r="1022" spans="1:71" s="300" customFormat="1" ht="15">
      <c r="A1022" s="446" t="s">
        <v>233</v>
      </c>
      <c r="B1022" s="534"/>
      <c r="C1022" s="535"/>
      <c r="D1022" s="535"/>
      <c r="E1022" s="92"/>
      <c r="F1022" s="92"/>
      <c r="G1022" s="92"/>
      <c r="H1022" s="92"/>
      <c r="I1022" s="92"/>
      <c r="J1022" s="92"/>
      <c r="K1022" s="92"/>
      <c r="L1022" s="92"/>
      <c r="M1022" s="92"/>
      <c r="N1022" s="92"/>
      <c r="O1022" s="92"/>
      <c r="P1022" s="92"/>
      <c r="Q1022" s="92"/>
      <c r="R1022" s="92"/>
      <c r="S1022" s="92"/>
      <c r="T1022" s="92"/>
      <c r="U1022" s="92"/>
      <c r="V1022" s="92"/>
      <c r="W1022" s="92"/>
      <c r="X1022" s="92"/>
      <c r="Y1022" s="92"/>
      <c r="Z1022" s="92"/>
      <c r="AA1022" s="92"/>
      <c r="AB1022" s="92"/>
      <c r="AC1022" s="92"/>
      <c r="AD1022" s="92"/>
      <c r="AE1022" s="92"/>
      <c r="AF1022" s="92"/>
      <c r="AG1022" s="92"/>
      <c r="AH1022" s="92"/>
      <c r="AI1022" s="92"/>
      <c r="AJ1022" s="92"/>
      <c r="AK1022" s="92"/>
      <c r="AL1022" s="92"/>
      <c r="AM1022" s="92"/>
      <c r="AN1022" s="92"/>
      <c r="AO1022" s="92"/>
      <c r="AP1022" s="92"/>
      <c r="AQ1022" s="92"/>
      <c r="AR1022" s="92"/>
      <c r="AS1022" s="92"/>
      <c r="AT1022" s="92"/>
      <c r="AU1022" s="92"/>
      <c r="AV1022" s="92"/>
      <c r="AW1022" s="92"/>
      <c r="AX1022" s="92"/>
      <c r="AY1022" s="92"/>
      <c r="AZ1022" s="92"/>
      <c r="BA1022" s="92"/>
      <c r="BB1022" s="92"/>
      <c r="BC1022" s="92"/>
      <c r="BD1022" s="92"/>
      <c r="BE1022" s="92"/>
      <c r="BF1022" s="92"/>
      <c r="BG1022" s="92"/>
      <c r="BH1022" s="464"/>
      <c r="BI1022" s="92"/>
      <c r="BJ1022" s="92"/>
      <c r="BK1022" s="92"/>
      <c r="BL1022" s="92"/>
      <c r="BM1022" s="92"/>
      <c r="BN1022" s="92"/>
      <c r="BO1022" s="92"/>
      <c r="BP1022" s="92"/>
      <c r="BQ1022" s="92"/>
      <c r="BR1022" s="92"/>
      <c r="BS1022" s="305"/>
    </row>
    <row r="1023" spans="1:71" s="300" customFormat="1" ht="15">
      <c r="A1023" s="352"/>
      <c r="B1023" s="536"/>
      <c r="C1023" s="535"/>
      <c r="D1023" s="535"/>
      <c r="E1023" s="92"/>
      <c r="F1023" s="92"/>
      <c r="G1023" s="92"/>
      <c r="H1023" s="92"/>
      <c r="I1023" s="92"/>
      <c r="J1023" s="92"/>
      <c r="K1023" s="92"/>
      <c r="L1023" s="92"/>
      <c r="M1023" s="92"/>
      <c r="N1023" s="92"/>
      <c r="O1023" s="92"/>
      <c r="P1023" s="92"/>
      <c r="Q1023" s="92"/>
      <c r="R1023" s="92"/>
      <c r="S1023" s="92"/>
      <c r="T1023" s="92"/>
      <c r="U1023" s="92"/>
      <c r="V1023" s="92"/>
      <c r="W1023" s="92"/>
      <c r="X1023" s="92"/>
      <c r="Y1023" s="92"/>
      <c r="Z1023" s="92"/>
      <c r="AA1023" s="92"/>
      <c r="AB1023" s="92"/>
      <c r="AC1023" s="92"/>
      <c r="AD1023" s="92"/>
      <c r="AE1023" s="92"/>
      <c r="AF1023" s="92"/>
      <c r="AG1023" s="92"/>
      <c r="AH1023" s="92"/>
      <c r="AI1023" s="92"/>
      <c r="AJ1023" s="92"/>
      <c r="AK1023" s="92"/>
      <c r="AL1023" s="92"/>
      <c r="AM1023" s="92"/>
      <c r="AN1023" s="92"/>
      <c r="AO1023" s="92"/>
      <c r="AP1023" s="92"/>
      <c r="AQ1023" s="92"/>
      <c r="AR1023" s="92"/>
      <c r="AS1023" s="92"/>
      <c r="AT1023" s="92"/>
      <c r="AU1023" s="92"/>
      <c r="AV1023" s="92"/>
      <c r="AW1023" s="92"/>
      <c r="AX1023" s="92"/>
      <c r="AY1023" s="92"/>
      <c r="AZ1023" s="92"/>
      <c r="BA1023" s="92"/>
      <c r="BB1023" s="92"/>
      <c r="BC1023" s="92"/>
      <c r="BD1023" s="92"/>
      <c r="BE1023" s="92"/>
      <c r="BF1023" s="92"/>
      <c r="BG1023" s="92"/>
      <c r="BH1023" s="464"/>
      <c r="BI1023" s="92"/>
      <c r="BJ1023" s="92"/>
      <c r="BK1023" s="92"/>
      <c r="BL1023" s="92"/>
      <c r="BM1023" s="92"/>
      <c r="BN1023" s="92"/>
      <c r="BO1023" s="92"/>
      <c r="BP1023" s="92"/>
      <c r="BQ1023" s="92"/>
      <c r="BR1023" s="92"/>
      <c r="BS1023" s="305"/>
    </row>
    <row r="1024" spans="1:71" s="40" customFormat="1" ht="15">
      <c r="A1024" s="371" t="s">
        <v>234</v>
      </c>
      <c r="B1024" s="447"/>
      <c r="C1024" s="537"/>
      <c r="D1024" s="537"/>
      <c r="E1024" s="537"/>
      <c r="F1024" s="537"/>
      <c r="G1024" s="537"/>
      <c r="H1024" s="537"/>
      <c r="I1024" s="537"/>
      <c r="J1024" s="537"/>
      <c r="K1024" s="537"/>
      <c r="L1024" s="537"/>
      <c r="M1024" s="537"/>
      <c r="N1024" s="537"/>
      <c r="O1024" s="537"/>
      <c r="P1024" s="537"/>
      <c r="Q1024" s="537"/>
      <c r="R1024" s="537"/>
      <c r="S1024" s="537"/>
      <c r="T1024" s="537"/>
      <c r="U1024" s="537"/>
      <c r="V1024" s="537"/>
      <c r="W1024" s="537"/>
      <c r="X1024" s="537"/>
      <c r="Y1024" s="537"/>
      <c r="Z1024" s="537"/>
      <c r="AA1024" s="537"/>
      <c r="AB1024" s="537"/>
      <c r="AC1024" s="537"/>
      <c r="AD1024" s="537"/>
      <c r="AE1024" s="537"/>
      <c r="AF1024" s="537"/>
      <c r="AG1024" s="537"/>
      <c r="AH1024" s="537"/>
      <c r="AI1024" s="537"/>
      <c r="AJ1024" s="537"/>
      <c r="AK1024" s="537"/>
      <c r="AL1024" s="537"/>
      <c r="AM1024" s="537"/>
      <c r="AN1024" s="537"/>
      <c r="AO1024" s="537"/>
      <c r="AP1024" s="537"/>
      <c r="AQ1024" s="537"/>
      <c r="AR1024" s="537"/>
      <c r="AS1024" s="537"/>
      <c r="AT1024" s="537"/>
      <c r="AU1024" s="537"/>
      <c r="AV1024" s="537"/>
      <c r="AW1024" s="537"/>
      <c r="AX1024" s="537"/>
      <c r="AY1024" s="537"/>
      <c r="AZ1024" s="537"/>
      <c r="BA1024" s="537"/>
      <c r="BB1024" s="537"/>
      <c r="BC1024" s="537"/>
      <c r="BD1024" s="537"/>
      <c r="BE1024" s="537"/>
      <c r="BF1024" s="537"/>
      <c r="BG1024" s="537"/>
      <c r="BH1024" s="538"/>
      <c r="BI1024" s="537"/>
      <c r="BJ1024" s="537"/>
      <c r="BK1024" s="537"/>
      <c r="BL1024" s="537"/>
      <c r="BM1024" s="537"/>
      <c r="BN1024" s="537"/>
      <c r="BO1024" s="537"/>
      <c r="BP1024" s="537"/>
      <c r="BQ1024" s="537"/>
      <c r="BR1024" s="537"/>
      <c r="BS1024" s="309"/>
    </row>
    <row r="1025" spans="1:71" s="300" customFormat="1" ht="15">
      <c r="A1025" s="365" t="s">
        <v>235</v>
      </c>
      <c r="B1025" s="953">
        <v>1</v>
      </c>
      <c r="C1025" s="92"/>
      <c r="D1025" s="535"/>
      <c r="E1025" s="92"/>
      <c r="F1025" s="92"/>
      <c r="G1025" s="92"/>
      <c r="H1025" s="92"/>
      <c r="I1025" s="92"/>
      <c r="J1025" s="92"/>
      <c r="K1025" s="92"/>
      <c r="L1025" s="92"/>
      <c r="M1025" s="92"/>
      <c r="N1025" s="92"/>
      <c r="O1025" s="92"/>
      <c r="P1025" s="92"/>
      <c r="Q1025" s="92"/>
      <c r="R1025" s="92"/>
      <c r="S1025" s="92"/>
      <c r="T1025" s="92"/>
      <c r="U1025" s="92"/>
      <c r="V1025" s="92"/>
      <c r="W1025" s="92"/>
      <c r="X1025" s="92"/>
      <c r="Y1025" s="92"/>
      <c r="Z1025" s="92"/>
      <c r="AA1025" s="92"/>
      <c r="AB1025" s="92"/>
      <c r="AC1025" s="92"/>
      <c r="AD1025" s="92"/>
      <c r="AE1025" s="92"/>
      <c r="AF1025" s="92"/>
      <c r="AG1025" s="92"/>
      <c r="AH1025" s="92"/>
      <c r="AI1025" s="92"/>
      <c r="AJ1025" s="92"/>
      <c r="AK1025" s="92"/>
      <c r="AL1025" s="92"/>
      <c r="AM1025" s="92"/>
      <c r="AN1025" s="92"/>
      <c r="AO1025" s="92"/>
      <c r="AP1025" s="92"/>
      <c r="AQ1025" s="92"/>
      <c r="AR1025" s="92"/>
      <c r="AS1025" s="92"/>
      <c r="AT1025" s="92"/>
      <c r="AU1025" s="92"/>
      <c r="AV1025" s="92"/>
      <c r="AW1025" s="92"/>
      <c r="AX1025" s="92"/>
      <c r="AY1025" s="92"/>
      <c r="AZ1025" s="92"/>
      <c r="BA1025" s="92"/>
      <c r="BB1025" s="92"/>
      <c r="BC1025" s="92"/>
      <c r="BD1025" s="92"/>
      <c r="BE1025" s="92"/>
      <c r="BF1025" s="92"/>
      <c r="BG1025" s="92"/>
      <c r="BH1025" s="464"/>
      <c r="BI1025" s="92"/>
      <c r="BJ1025" s="92"/>
      <c r="BK1025" s="92"/>
      <c r="BL1025" s="92"/>
      <c r="BM1025" s="92"/>
      <c r="BN1025" s="92"/>
      <c r="BO1025" s="92"/>
      <c r="BP1025" s="92"/>
      <c r="BQ1025" s="92"/>
      <c r="BR1025" s="92"/>
      <c r="BS1025" s="305"/>
    </row>
    <row r="1026" spans="1:71" s="300" customFormat="1" ht="15">
      <c r="A1026" s="365" t="s">
        <v>236</v>
      </c>
      <c r="B1026" s="953">
        <v>2</v>
      </c>
      <c r="C1026" s="92"/>
      <c r="D1026" s="535"/>
      <c r="E1026" s="92"/>
      <c r="F1026" s="92"/>
      <c r="G1026" s="92"/>
      <c r="H1026" s="92"/>
      <c r="I1026" s="92"/>
      <c r="J1026" s="92"/>
      <c r="K1026" s="92"/>
      <c r="L1026" s="92"/>
      <c r="M1026" s="92"/>
      <c r="N1026" s="92"/>
      <c r="O1026" s="92"/>
      <c r="P1026" s="92"/>
      <c r="Q1026" s="92"/>
      <c r="R1026" s="92"/>
      <c r="S1026" s="92"/>
      <c r="T1026" s="92"/>
      <c r="U1026" s="92"/>
      <c r="V1026" s="92"/>
      <c r="W1026" s="92"/>
      <c r="X1026" s="92"/>
      <c r="Y1026" s="92"/>
      <c r="Z1026" s="92"/>
      <c r="AA1026" s="92"/>
      <c r="AB1026" s="92"/>
      <c r="AC1026" s="92"/>
      <c r="AD1026" s="92"/>
      <c r="AE1026" s="92"/>
      <c r="AF1026" s="92"/>
      <c r="AG1026" s="92"/>
      <c r="AH1026" s="92"/>
      <c r="AI1026" s="92"/>
      <c r="AJ1026" s="92"/>
      <c r="AK1026" s="92"/>
      <c r="AL1026" s="92"/>
      <c r="AM1026" s="92"/>
      <c r="AN1026" s="92"/>
      <c r="AO1026" s="92"/>
      <c r="AP1026" s="92"/>
      <c r="AQ1026" s="92"/>
      <c r="AR1026" s="92"/>
      <c r="AS1026" s="92"/>
      <c r="AT1026" s="92"/>
      <c r="AU1026" s="92"/>
      <c r="AV1026" s="92"/>
      <c r="AW1026" s="92"/>
      <c r="AX1026" s="92"/>
      <c r="AY1026" s="92"/>
      <c r="AZ1026" s="92"/>
      <c r="BA1026" s="92"/>
      <c r="BB1026" s="92"/>
      <c r="BC1026" s="92"/>
      <c r="BD1026" s="92"/>
      <c r="BE1026" s="92"/>
      <c r="BF1026" s="92"/>
      <c r="BG1026" s="92"/>
      <c r="BH1026" s="464"/>
      <c r="BI1026" s="92"/>
      <c r="BJ1026" s="92"/>
      <c r="BK1026" s="92"/>
      <c r="BL1026" s="92"/>
      <c r="BM1026" s="92"/>
      <c r="BN1026" s="92"/>
      <c r="BO1026" s="92"/>
      <c r="BP1026" s="92"/>
      <c r="BQ1026" s="92"/>
      <c r="BR1026" s="92"/>
      <c r="BS1026" s="305"/>
    </row>
    <row r="1027" spans="1:71" s="300" customFormat="1" ht="15">
      <c r="A1027" s="365" t="s">
        <v>114</v>
      </c>
      <c r="B1027" s="953">
        <v>3</v>
      </c>
      <c r="C1027" s="92"/>
      <c r="D1027" s="535"/>
      <c r="E1027" s="92"/>
      <c r="F1027" s="92"/>
      <c r="G1027" s="92"/>
      <c r="H1027" s="92"/>
      <c r="I1027" s="92"/>
      <c r="J1027" s="92"/>
      <c r="K1027" s="92"/>
      <c r="L1027" s="92"/>
      <c r="M1027" s="92"/>
      <c r="N1027" s="92"/>
      <c r="O1027" s="92"/>
      <c r="P1027" s="92"/>
      <c r="Q1027" s="92"/>
      <c r="R1027" s="92"/>
      <c r="S1027" s="92"/>
      <c r="T1027" s="92"/>
      <c r="U1027" s="92"/>
      <c r="V1027" s="92"/>
      <c r="W1027" s="92"/>
      <c r="X1027" s="92"/>
      <c r="Y1027" s="92"/>
      <c r="Z1027" s="92"/>
      <c r="AA1027" s="92"/>
      <c r="AB1027" s="92"/>
      <c r="AC1027" s="92"/>
      <c r="AD1027" s="92"/>
      <c r="AE1027" s="92"/>
      <c r="AF1027" s="92"/>
      <c r="AG1027" s="92"/>
      <c r="AH1027" s="92"/>
      <c r="AI1027" s="92"/>
      <c r="AJ1027" s="92"/>
      <c r="AK1027" s="92"/>
      <c r="AL1027" s="92"/>
      <c r="AM1027" s="92"/>
      <c r="AN1027" s="92"/>
      <c r="AO1027" s="92"/>
      <c r="AP1027" s="92"/>
      <c r="AQ1027" s="92"/>
      <c r="AR1027" s="92"/>
      <c r="AS1027" s="92"/>
      <c r="AT1027" s="92"/>
      <c r="AU1027" s="92"/>
      <c r="AV1027" s="92"/>
      <c r="AW1027" s="92"/>
      <c r="AX1027" s="92"/>
      <c r="AY1027" s="92"/>
      <c r="AZ1027" s="92"/>
      <c r="BA1027" s="92"/>
      <c r="BB1027" s="92"/>
      <c r="BC1027" s="92"/>
      <c r="BD1027" s="92"/>
      <c r="BE1027" s="92"/>
      <c r="BF1027" s="92"/>
      <c r="BG1027" s="92"/>
      <c r="BH1027" s="464"/>
      <c r="BI1027" s="92"/>
      <c r="BJ1027" s="92"/>
      <c r="BK1027" s="92"/>
      <c r="BL1027" s="92"/>
      <c r="BM1027" s="92"/>
      <c r="BN1027" s="92"/>
      <c r="BO1027" s="92"/>
      <c r="BP1027" s="92"/>
      <c r="BQ1027" s="92"/>
      <c r="BR1027" s="92"/>
      <c r="BS1027" s="305"/>
    </row>
    <row r="1028" spans="1:71" s="300" customFormat="1" ht="15">
      <c r="A1028" s="366" t="s">
        <v>920</v>
      </c>
      <c r="B1028" s="954">
        <v>4</v>
      </c>
      <c r="C1028" s="92"/>
      <c r="D1028" s="535"/>
      <c r="E1028" s="92"/>
      <c r="F1028" s="92"/>
      <c r="G1028" s="92"/>
      <c r="H1028" s="92"/>
      <c r="I1028" s="92"/>
      <c r="J1028" s="92"/>
      <c r="K1028" s="92"/>
      <c r="L1028" s="92"/>
      <c r="M1028" s="92"/>
      <c r="N1028" s="92"/>
      <c r="O1028" s="92"/>
      <c r="P1028" s="92"/>
      <c r="Q1028" s="92"/>
      <c r="R1028" s="92"/>
      <c r="S1028" s="92"/>
      <c r="T1028" s="92"/>
      <c r="U1028" s="92"/>
      <c r="V1028" s="92"/>
      <c r="W1028" s="92"/>
      <c r="X1028" s="92"/>
      <c r="Y1028" s="92"/>
      <c r="Z1028" s="92"/>
      <c r="AA1028" s="92"/>
      <c r="AB1028" s="92"/>
      <c r="AC1028" s="92"/>
      <c r="AD1028" s="92"/>
      <c r="AE1028" s="92"/>
      <c r="AF1028" s="92"/>
      <c r="AG1028" s="92"/>
      <c r="AH1028" s="92"/>
      <c r="AI1028" s="92"/>
      <c r="AJ1028" s="92"/>
      <c r="AK1028" s="92"/>
      <c r="AL1028" s="92"/>
      <c r="AM1028" s="92"/>
      <c r="AN1028" s="92"/>
      <c r="AO1028" s="92"/>
      <c r="AP1028" s="92"/>
      <c r="AQ1028" s="92"/>
      <c r="AR1028" s="92"/>
      <c r="AS1028" s="92"/>
      <c r="AT1028" s="92"/>
      <c r="AU1028" s="92"/>
      <c r="AV1028" s="92"/>
      <c r="AW1028" s="92"/>
      <c r="AX1028" s="92"/>
      <c r="AY1028" s="92"/>
      <c r="AZ1028" s="92"/>
      <c r="BA1028" s="92"/>
      <c r="BB1028" s="92"/>
      <c r="BC1028" s="92"/>
      <c r="BD1028" s="92"/>
      <c r="BE1028" s="92"/>
      <c r="BF1028" s="92"/>
      <c r="BG1028" s="92"/>
      <c r="BH1028" s="464"/>
      <c r="BI1028" s="92"/>
      <c r="BJ1028" s="92"/>
      <c r="BK1028" s="92"/>
      <c r="BL1028" s="92"/>
      <c r="BM1028" s="92"/>
      <c r="BN1028" s="92"/>
      <c r="BO1028" s="92"/>
      <c r="BP1028" s="92"/>
      <c r="BQ1028" s="92"/>
      <c r="BR1028" s="92"/>
      <c r="BS1028" s="305"/>
    </row>
    <row r="1029" spans="1:71" s="300" customFormat="1" ht="15">
      <c r="A1029" s="539"/>
      <c r="B1029" s="540"/>
      <c r="C1029" s="535"/>
      <c r="D1029" s="535"/>
      <c r="E1029" s="92"/>
      <c r="F1029" s="92"/>
      <c r="G1029" s="92"/>
      <c r="H1029" s="92"/>
      <c r="I1029" s="92"/>
      <c r="J1029" s="92"/>
      <c r="K1029" s="92"/>
      <c r="L1029" s="92"/>
      <c r="M1029" s="92"/>
      <c r="N1029" s="92"/>
      <c r="O1029" s="92"/>
      <c r="P1029" s="92"/>
      <c r="Q1029" s="92"/>
      <c r="R1029" s="92"/>
      <c r="S1029" s="92"/>
      <c r="T1029" s="92"/>
      <c r="U1029" s="92"/>
      <c r="V1029" s="92"/>
      <c r="W1029" s="92"/>
      <c r="X1029" s="92"/>
      <c r="Y1029" s="92"/>
      <c r="Z1029" s="92"/>
      <c r="AA1029" s="92"/>
      <c r="AB1029" s="92"/>
      <c r="AC1029" s="92"/>
      <c r="AD1029" s="92"/>
      <c r="AE1029" s="92"/>
      <c r="AF1029" s="92"/>
      <c r="AG1029" s="92"/>
      <c r="AH1029" s="92"/>
      <c r="AI1029" s="92"/>
      <c r="AJ1029" s="92"/>
      <c r="AK1029" s="92"/>
      <c r="AL1029" s="92"/>
      <c r="AM1029" s="92"/>
      <c r="AN1029" s="92"/>
      <c r="AO1029" s="92"/>
      <c r="AP1029" s="92"/>
      <c r="AQ1029" s="92"/>
      <c r="AR1029" s="92"/>
      <c r="AS1029" s="92"/>
      <c r="AT1029" s="92"/>
      <c r="AU1029" s="92"/>
      <c r="AV1029" s="92"/>
      <c r="AW1029" s="92"/>
      <c r="AX1029" s="92"/>
      <c r="AY1029" s="92"/>
      <c r="AZ1029" s="92"/>
      <c r="BA1029" s="92"/>
      <c r="BB1029" s="92"/>
      <c r="BC1029" s="92"/>
      <c r="BD1029" s="92"/>
      <c r="BE1029" s="92"/>
      <c r="BF1029" s="92"/>
      <c r="BG1029" s="92"/>
      <c r="BH1029" s="464"/>
      <c r="BI1029" s="92"/>
      <c r="BJ1029" s="92"/>
      <c r="BK1029" s="92"/>
      <c r="BL1029" s="92"/>
      <c r="BM1029" s="92"/>
      <c r="BN1029" s="92"/>
      <c r="BO1029" s="92"/>
      <c r="BP1029" s="92"/>
      <c r="BQ1029" s="92"/>
      <c r="BR1029" s="92"/>
      <c r="BS1029" s="305"/>
    </row>
    <row r="1030" spans="1:71" s="300" customFormat="1" ht="15">
      <c r="A1030" s="397" t="s">
        <v>363</v>
      </c>
      <c r="B1030" s="92"/>
      <c r="C1030" s="535"/>
      <c r="D1030" s="535"/>
      <c r="E1030" s="92"/>
      <c r="F1030" s="92"/>
      <c r="G1030" s="92"/>
      <c r="H1030" s="92"/>
      <c r="I1030" s="92"/>
      <c r="J1030" s="92"/>
      <c r="K1030" s="92"/>
      <c r="L1030" s="92"/>
      <c r="M1030" s="92"/>
      <c r="N1030" s="92"/>
      <c r="O1030" s="92"/>
      <c r="P1030" s="92"/>
      <c r="Q1030" s="92"/>
      <c r="R1030" s="92"/>
      <c r="S1030" s="92"/>
      <c r="T1030" s="92"/>
      <c r="U1030" s="92"/>
      <c r="V1030" s="92"/>
      <c r="W1030" s="92"/>
      <c r="X1030" s="92"/>
      <c r="Y1030" s="92"/>
      <c r="Z1030" s="92"/>
      <c r="AA1030" s="92"/>
      <c r="AB1030" s="92"/>
      <c r="AC1030" s="92"/>
      <c r="AD1030" s="92"/>
      <c r="AE1030" s="92"/>
      <c r="AF1030" s="92"/>
      <c r="AG1030" s="92"/>
      <c r="AH1030" s="92"/>
      <c r="AI1030" s="92"/>
      <c r="AJ1030" s="92"/>
      <c r="AK1030" s="92"/>
      <c r="AL1030" s="92"/>
      <c r="AM1030" s="92"/>
      <c r="AN1030" s="92"/>
      <c r="AO1030" s="92"/>
      <c r="AP1030" s="92"/>
      <c r="AQ1030" s="92"/>
      <c r="AR1030" s="92"/>
      <c r="AS1030" s="92"/>
      <c r="AT1030" s="92"/>
      <c r="AU1030" s="92"/>
      <c r="AV1030" s="92"/>
      <c r="AW1030" s="92"/>
      <c r="AX1030" s="92"/>
      <c r="AY1030" s="92"/>
      <c r="AZ1030" s="92"/>
      <c r="BA1030" s="92"/>
      <c r="BB1030" s="92"/>
      <c r="BC1030" s="92"/>
      <c r="BD1030" s="92"/>
      <c r="BE1030" s="92"/>
      <c r="BF1030" s="92"/>
      <c r="BG1030" s="92"/>
      <c r="BH1030" s="464"/>
      <c r="BI1030" s="92"/>
      <c r="BJ1030" s="92"/>
      <c r="BK1030" s="92"/>
      <c r="BL1030" s="92"/>
      <c r="BM1030" s="92"/>
      <c r="BN1030" s="92"/>
      <c r="BO1030" s="92"/>
      <c r="BP1030" s="92"/>
      <c r="BQ1030" s="92"/>
      <c r="BR1030" s="92"/>
      <c r="BS1030" s="305"/>
    </row>
    <row r="1031" spans="1:71" s="300" customFormat="1" ht="15">
      <c r="A1031" s="398" t="str">
        <f>MO_UR_CombinedRatio</f>
        <v>Property &amp; Liability - Combined Ratio, %</v>
      </c>
      <c r="B1031" s="92"/>
      <c r="C1031" s="535"/>
      <c r="D1031" s="535"/>
      <c r="E1031" s="92"/>
      <c r="F1031" s="92"/>
      <c r="G1031" s="92"/>
      <c r="H1031" s="92"/>
      <c r="I1031" s="92"/>
      <c r="J1031" s="92"/>
      <c r="K1031" s="92"/>
      <c r="L1031" s="92"/>
      <c r="M1031" s="92"/>
      <c r="N1031" s="92"/>
      <c r="O1031" s="92"/>
      <c r="P1031" s="92"/>
      <c r="Q1031" s="92"/>
      <c r="R1031" s="92"/>
      <c r="S1031" s="92"/>
      <c r="T1031" s="92"/>
      <c r="U1031" s="92"/>
      <c r="V1031" s="92"/>
      <c r="W1031" s="92"/>
      <c r="X1031" s="92"/>
      <c r="Y1031" s="92"/>
      <c r="Z1031" s="92"/>
      <c r="AA1031" s="92"/>
      <c r="AB1031" s="92"/>
      <c r="AC1031" s="92"/>
      <c r="AD1031" s="92"/>
      <c r="AE1031" s="92"/>
      <c r="AF1031" s="92"/>
      <c r="AG1031" s="92"/>
      <c r="AH1031" s="92"/>
      <c r="AI1031" s="92"/>
      <c r="AJ1031" s="92"/>
      <c r="AK1031" s="92"/>
      <c r="AL1031" s="92"/>
      <c r="AM1031" s="92"/>
      <c r="AN1031" s="92"/>
      <c r="AO1031" s="92"/>
      <c r="AP1031" s="92"/>
      <c r="AQ1031" s="92"/>
      <c r="AR1031" s="92"/>
      <c r="AS1031" s="92"/>
      <c r="AT1031" s="92"/>
      <c r="AU1031" s="92"/>
      <c r="AV1031" s="92"/>
      <c r="AW1031" s="92"/>
      <c r="AX1031" s="92"/>
      <c r="AY1031" s="92"/>
      <c r="AZ1031" s="92"/>
      <c r="BA1031" s="92"/>
      <c r="BB1031" s="92"/>
      <c r="BC1031" s="92"/>
      <c r="BD1031" s="92"/>
      <c r="BE1031" s="92"/>
      <c r="BF1031" s="92"/>
      <c r="BG1031" s="92"/>
      <c r="BH1031" s="464"/>
      <c r="BI1031" s="92"/>
      <c r="BJ1031" s="92"/>
      <c r="BK1031" s="92"/>
      <c r="BL1031" s="92"/>
      <c r="BM1031" s="92"/>
      <c r="BN1031" s="92"/>
      <c r="BO1031" s="92"/>
      <c r="BP1031" s="92"/>
      <c r="BQ1031" s="92"/>
      <c r="BR1031" s="92"/>
      <c r="BS1031" s="305"/>
    </row>
    <row r="1032" spans="1:71" s="300" customFormat="1" ht="15">
      <c r="A1032" s="398" t="str">
        <f>MO_RIS_EPS_WAD_Adj</f>
        <v>Adjusted Earnings Per Share - WAD</v>
      </c>
      <c r="B1032" s="92"/>
      <c r="C1032" s="535"/>
      <c r="D1032" s="535"/>
      <c r="E1032" s="92"/>
      <c r="F1032" s="92"/>
      <c r="G1032" s="92"/>
      <c r="H1032" s="92"/>
      <c r="I1032" s="92"/>
      <c r="J1032" s="92"/>
      <c r="K1032" s="92"/>
      <c r="L1032" s="92"/>
      <c r="M1032" s="92"/>
      <c r="N1032" s="92"/>
      <c r="O1032" s="92"/>
      <c r="P1032" s="92"/>
      <c r="Q1032" s="92"/>
      <c r="R1032" s="92"/>
      <c r="S1032" s="92"/>
      <c r="T1032" s="92"/>
      <c r="U1032" s="92"/>
      <c r="V1032" s="92"/>
      <c r="W1032" s="92"/>
      <c r="X1032" s="92"/>
      <c r="Y1032" s="92"/>
      <c r="Z1032" s="92"/>
      <c r="AA1032" s="92"/>
      <c r="AB1032" s="92"/>
      <c r="AC1032" s="92"/>
      <c r="AD1032" s="92"/>
      <c r="AE1032" s="92"/>
      <c r="AF1032" s="92"/>
      <c r="AG1032" s="92"/>
      <c r="AH1032" s="92"/>
      <c r="AI1032" s="92"/>
      <c r="AJ1032" s="92"/>
      <c r="AK1032" s="92"/>
      <c r="AL1032" s="92"/>
      <c r="AM1032" s="92"/>
      <c r="AN1032" s="92"/>
      <c r="AO1032" s="92"/>
      <c r="AP1032" s="92"/>
      <c r="AQ1032" s="92"/>
      <c r="AR1032" s="92"/>
      <c r="AS1032" s="92"/>
      <c r="AT1032" s="92"/>
      <c r="AU1032" s="92"/>
      <c r="AV1032" s="92"/>
      <c r="AW1032" s="92"/>
      <c r="AX1032" s="92"/>
      <c r="AY1032" s="92"/>
      <c r="AZ1032" s="92"/>
      <c r="BA1032" s="92"/>
      <c r="BB1032" s="92"/>
      <c r="BC1032" s="92"/>
      <c r="BD1032" s="92"/>
      <c r="BE1032" s="92"/>
      <c r="BF1032" s="92"/>
      <c r="BG1032" s="92"/>
      <c r="BH1032" s="464"/>
      <c r="BI1032" s="92"/>
      <c r="BJ1032" s="92"/>
      <c r="BK1032" s="92"/>
      <c r="BL1032" s="92"/>
      <c r="BM1032" s="92"/>
      <c r="BN1032" s="92"/>
      <c r="BO1032" s="92"/>
      <c r="BP1032" s="92"/>
      <c r="BQ1032" s="92"/>
      <c r="BR1032" s="92"/>
      <c r="BS1032" s="305"/>
    </row>
    <row r="1033" spans="1:71" s="300" customFormat="1" ht="15">
      <c r="A1033" s="398" t="str">
        <f>MO_BSS_ROE</f>
        <v>Return on Average Common Equity, %</v>
      </c>
      <c r="B1033" s="92"/>
      <c r="C1033" s="535"/>
      <c r="D1033" s="535"/>
      <c r="E1033" s="92"/>
      <c r="F1033" s="92"/>
      <c r="G1033" s="92"/>
      <c r="H1033" s="92"/>
      <c r="I1033" s="92"/>
      <c r="J1033" s="92"/>
      <c r="K1033" s="92"/>
      <c r="L1033" s="92"/>
      <c r="M1033" s="92"/>
      <c r="N1033" s="92"/>
      <c r="O1033" s="92"/>
      <c r="P1033" s="92"/>
      <c r="Q1033" s="92"/>
      <c r="R1033" s="92"/>
      <c r="S1033" s="92"/>
      <c r="T1033" s="92"/>
      <c r="U1033" s="92"/>
      <c r="V1033" s="92"/>
      <c r="W1033" s="92"/>
      <c r="X1033" s="92"/>
      <c r="Y1033" s="92"/>
      <c r="Z1033" s="92"/>
      <c r="AA1033" s="92"/>
      <c r="AB1033" s="92"/>
      <c r="AC1033" s="92"/>
      <c r="AD1033" s="92"/>
      <c r="AE1033" s="92"/>
      <c r="AF1033" s="92"/>
      <c r="AG1033" s="92"/>
      <c r="AH1033" s="92"/>
      <c r="AI1033" s="92"/>
      <c r="AJ1033" s="92"/>
      <c r="AK1033" s="92"/>
      <c r="AL1033" s="92"/>
      <c r="AM1033" s="92"/>
      <c r="AN1033" s="92"/>
      <c r="AO1033" s="92"/>
      <c r="AP1033" s="92"/>
      <c r="AQ1033" s="92"/>
      <c r="AR1033" s="92"/>
      <c r="AS1033" s="92"/>
      <c r="AT1033" s="92"/>
      <c r="AU1033" s="92"/>
      <c r="AV1033" s="92"/>
      <c r="AW1033" s="92"/>
      <c r="AX1033" s="92"/>
      <c r="AY1033" s="92"/>
      <c r="AZ1033" s="92"/>
      <c r="BA1033" s="92"/>
      <c r="BB1033" s="92"/>
      <c r="BC1033" s="92"/>
      <c r="BD1033" s="92"/>
      <c r="BE1033" s="92"/>
      <c r="BF1033" s="92"/>
      <c r="BG1033" s="92"/>
      <c r="BH1033" s="464"/>
      <c r="BI1033" s="92"/>
      <c r="BJ1033" s="92"/>
      <c r="BK1033" s="92"/>
      <c r="BL1033" s="92"/>
      <c r="BM1033" s="92"/>
      <c r="BN1033" s="92"/>
      <c r="BO1033" s="92"/>
      <c r="BP1033" s="92"/>
      <c r="BQ1033" s="92"/>
      <c r="BR1033" s="92"/>
      <c r="BS1033" s="305"/>
    </row>
    <row r="1034" spans="1:71" s="300" customFormat="1" ht="15">
      <c r="A1034" s="398" t="str">
        <f>MO_BSS_BVPS</f>
        <v>Book Value per Common Share</v>
      </c>
      <c r="B1034" s="92"/>
      <c r="C1034" s="535"/>
      <c r="D1034" s="535"/>
      <c r="E1034" s="92"/>
      <c r="F1034" s="92"/>
      <c r="G1034" s="92"/>
      <c r="H1034" s="92"/>
      <c r="I1034" s="92"/>
      <c r="J1034" s="92"/>
      <c r="K1034" s="92"/>
      <c r="L1034" s="92"/>
      <c r="M1034" s="92"/>
      <c r="N1034" s="92"/>
      <c r="O1034" s="92"/>
      <c r="P1034" s="92"/>
      <c r="Q1034" s="92"/>
      <c r="R1034" s="92"/>
      <c r="S1034" s="92"/>
      <c r="T1034" s="92"/>
      <c r="U1034" s="92"/>
      <c r="V1034" s="92"/>
      <c r="W1034" s="92"/>
      <c r="X1034" s="92"/>
      <c r="Y1034" s="92"/>
      <c r="Z1034" s="92"/>
      <c r="AA1034" s="92"/>
      <c r="AB1034" s="92"/>
      <c r="AC1034" s="92"/>
      <c r="AD1034" s="92"/>
      <c r="AE1034" s="92"/>
      <c r="AF1034" s="92"/>
      <c r="AG1034" s="92"/>
      <c r="AH1034" s="92"/>
      <c r="AI1034" s="92"/>
      <c r="AJ1034" s="92"/>
      <c r="AK1034" s="92"/>
      <c r="AL1034" s="92"/>
      <c r="AM1034" s="92"/>
      <c r="AN1034" s="92"/>
      <c r="AO1034" s="92"/>
      <c r="AP1034" s="92"/>
      <c r="AQ1034" s="92"/>
      <c r="AR1034" s="92"/>
      <c r="AS1034" s="92"/>
      <c r="AT1034" s="92"/>
      <c r="AU1034" s="92"/>
      <c r="AV1034" s="92"/>
      <c r="AW1034" s="92"/>
      <c r="AX1034" s="92"/>
      <c r="AY1034" s="92"/>
      <c r="AZ1034" s="92"/>
      <c r="BA1034" s="92"/>
      <c r="BB1034" s="92"/>
      <c r="BC1034" s="92"/>
      <c r="BD1034" s="92"/>
      <c r="BE1034" s="92"/>
      <c r="BF1034" s="92"/>
      <c r="BG1034" s="92"/>
      <c r="BH1034" s="464"/>
      <c r="BI1034" s="92"/>
      <c r="BJ1034" s="92"/>
      <c r="BK1034" s="92"/>
      <c r="BL1034" s="92"/>
      <c r="BM1034" s="92"/>
      <c r="BN1034" s="92"/>
      <c r="BO1034" s="92"/>
      <c r="BP1034" s="92"/>
      <c r="BQ1034" s="92"/>
      <c r="BR1034" s="92"/>
      <c r="BS1034" s="305"/>
    </row>
    <row r="1035" spans="1:71" s="300" customFormat="1" ht="15">
      <c r="A1035" s="398" t="str">
        <f>MO_VA_P_ToE</f>
        <v>P/E - EoP</v>
      </c>
      <c r="B1035" s="92"/>
      <c r="C1035" s="535"/>
      <c r="D1035" s="535"/>
      <c r="E1035" s="92"/>
      <c r="F1035" s="92"/>
      <c r="G1035" s="92"/>
      <c r="H1035" s="92"/>
      <c r="I1035" s="92"/>
      <c r="J1035" s="92"/>
      <c r="K1035" s="92"/>
      <c r="L1035" s="92"/>
      <c r="M1035" s="92"/>
      <c r="N1035" s="92"/>
      <c r="O1035" s="92"/>
      <c r="P1035" s="92"/>
      <c r="Q1035" s="92"/>
      <c r="R1035" s="92"/>
      <c r="S1035" s="92"/>
      <c r="T1035" s="92"/>
      <c r="U1035" s="92"/>
      <c r="V1035" s="92"/>
      <c r="W1035" s="92"/>
      <c r="X1035" s="92"/>
      <c r="Y1035" s="92"/>
      <c r="Z1035" s="92"/>
      <c r="AA1035" s="92"/>
      <c r="AB1035" s="92"/>
      <c r="AC1035" s="92"/>
      <c r="AD1035" s="92"/>
      <c r="AE1035" s="92"/>
      <c r="AF1035" s="92"/>
      <c r="AG1035" s="92"/>
      <c r="AH1035" s="92"/>
      <c r="AI1035" s="92"/>
      <c r="AJ1035" s="92"/>
      <c r="AK1035" s="92"/>
      <c r="AL1035" s="92"/>
      <c r="AM1035" s="92"/>
      <c r="AN1035" s="92"/>
      <c r="AO1035" s="92"/>
      <c r="AP1035" s="92"/>
      <c r="AQ1035" s="92"/>
      <c r="AR1035" s="92"/>
      <c r="AS1035" s="92"/>
      <c r="AT1035" s="92"/>
      <c r="AU1035" s="92"/>
      <c r="AV1035" s="92"/>
      <c r="AW1035" s="92"/>
      <c r="AX1035" s="92"/>
      <c r="AY1035" s="92"/>
      <c r="AZ1035" s="92"/>
      <c r="BA1035" s="92"/>
      <c r="BB1035" s="92"/>
      <c r="BC1035" s="92"/>
      <c r="BD1035" s="92"/>
      <c r="BE1035" s="92"/>
      <c r="BF1035" s="92"/>
      <c r="BG1035" s="92"/>
      <c r="BH1035" s="464"/>
      <c r="BI1035" s="92"/>
      <c r="BJ1035" s="92"/>
      <c r="BK1035" s="92"/>
      <c r="BL1035" s="92"/>
      <c r="BM1035" s="92"/>
      <c r="BN1035" s="92"/>
      <c r="BO1035" s="92"/>
      <c r="BP1035" s="92"/>
      <c r="BQ1035" s="92"/>
      <c r="BR1035" s="92"/>
      <c r="BS1035" s="305"/>
    </row>
    <row r="1036" spans="1:71" s="300" customFormat="1" ht="15">
      <c r="A1036" s="398" t="str">
        <f>MO_VA_P_ToB</f>
        <v>P/B - EoP</v>
      </c>
      <c r="B1036" s="92"/>
      <c r="C1036" s="535"/>
      <c r="D1036" s="535"/>
      <c r="E1036" s="92"/>
      <c r="F1036" s="92"/>
      <c r="G1036" s="92"/>
      <c r="H1036" s="92"/>
      <c r="I1036" s="92"/>
      <c r="J1036" s="92"/>
      <c r="K1036" s="92"/>
      <c r="L1036" s="92"/>
      <c r="M1036" s="92"/>
      <c r="N1036" s="92"/>
      <c r="O1036" s="92"/>
      <c r="P1036" s="92"/>
      <c r="Q1036" s="92"/>
      <c r="R1036" s="92"/>
      <c r="S1036" s="92"/>
      <c r="T1036" s="92"/>
      <c r="U1036" s="92"/>
      <c r="V1036" s="92"/>
      <c r="W1036" s="92"/>
      <c r="X1036" s="92"/>
      <c r="Y1036" s="92"/>
      <c r="Z1036" s="92"/>
      <c r="AA1036" s="92"/>
      <c r="AB1036" s="92"/>
      <c r="AC1036" s="92"/>
      <c r="AD1036" s="92"/>
      <c r="AE1036" s="92"/>
      <c r="AF1036" s="92"/>
      <c r="AG1036" s="92"/>
      <c r="AH1036" s="92"/>
      <c r="AI1036" s="92"/>
      <c r="AJ1036" s="92"/>
      <c r="AK1036" s="92"/>
      <c r="AL1036" s="92"/>
      <c r="AM1036" s="92"/>
      <c r="AN1036" s="92"/>
      <c r="AO1036" s="92"/>
      <c r="AP1036" s="92"/>
      <c r="AQ1036" s="92"/>
      <c r="AR1036" s="92"/>
      <c r="AS1036" s="92"/>
      <c r="AT1036" s="92"/>
      <c r="AU1036" s="92"/>
      <c r="AV1036" s="92"/>
      <c r="AW1036" s="92"/>
      <c r="AX1036" s="92"/>
      <c r="AY1036" s="92"/>
      <c r="AZ1036" s="92"/>
      <c r="BA1036" s="92"/>
      <c r="BB1036" s="92"/>
      <c r="BC1036" s="92"/>
      <c r="BD1036" s="92"/>
      <c r="BE1036" s="92"/>
      <c r="BF1036" s="92"/>
      <c r="BG1036" s="92"/>
      <c r="BH1036" s="464"/>
      <c r="BI1036" s="92"/>
      <c r="BJ1036" s="92"/>
      <c r="BK1036" s="92"/>
      <c r="BL1036" s="92"/>
      <c r="BM1036" s="92"/>
      <c r="BN1036" s="92"/>
      <c r="BO1036" s="92"/>
      <c r="BP1036" s="92"/>
      <c r="BQ1036" s="92"/>
      <c r="BR1036" s="92"/>
      <c r="BS1036" s="305"/>
    </row>
    <row r="1037" spans="1:71" s="300" customFormat="1" ht="15">
      <c r="A1037" s="541"/>
      <c r="B1037" s="92"/>
      <c r="C1037" s="535"/>
      <c r="D1037" s="535"/>
      <c r="E1037" s="92"/>
      <c r="F1037" s="92"/>
      <c r="G1037" s="92"/>
      <c r="H1037" s="92"/>
      <c r="I1037" s="92"/>
      <c r="J1037" s="92"/>
      <c r="K1037" s="92"/>
      <c r="L1037" s="92"/>
      <c r="M1037" s="92"/>
      <c r="N1037" s="92"/>
      <c r="O1037" s="92"/>
      <c r="P1037" s="92"/>
      <c r="Q1037" s="92"/>
      <c r="R1037" s="92"/>
      <c r="S1037" s="92"/>
      <c r="T1037" s="92"/>
      <c r="U1037" s="92"/>
      <c r="V1037" s="92"/>
      <c r="W1037" s="92"/>
      <c r="X1037" s="92"/>
      <c r="Y1037" s="92"/>
      <c r="Z1037" s="92"/>
      <c r="AA1037" s="92"/>
      <c r="AB1037" s="92"/>
      <c r="AC1037" s="92"/>
      <c r="AD1037" s="92"/>
      <c r="AE1037" s="92"/>
      <c r="AF1037" s="92"/>
      <c r="AG1037" s="92"/>
      <c r="AH1037" s="92"/>
      <c r="AI1037" s="92"/>
      <c r="AJ1037" s="92"/>
      <c r="AK1037" s="92"/>
      <c r="AL1037" s="92"/>
      <c r="AM1037" s="92"/>
      <c r="AN1037" s="92"/>
      <c r="AO1037" s="92"/>
      <c r="AP1037" s="92"/>
      <c r="AQ1037" s="92"/>
      <c r="AR1037" s="92"/>
      <c r="AS1037" s="92"/>
      <c r="AT1037" s="92"/>
      <c r="AU1037" s="92"/>
      <c r="AV1037" s="92"/>
      <c r="AW1037" s="92"/>
      <c r="AX1037" s="92"/>
      <c r="AY1037" s="92"/>
      <c r="AZ1037" s="92"/>
      <c r="BA1037" s="92"/>
      <c r="BB1037" s="92"/>
      <c r="BC1037" s="92"/>
      <c r="BD1037" s="92"/>
      <c r="BE1037" s="92"/>
      <c r="BF1037" s="92"/>
      <c r="BG1037" s="92"/>
      <c r="BH1037" s="464"/>
      <c r="BI1037" s="92"/>
      <c r="BJ1037" s="92"/>
      <c r="BK1037" s="92"/>
      <c r="BL1037" s="92"/>
      <c r="BM1037" s="92"/>
      <c r="BN1037" s="92"/>
      <c r="BO1037" s="92"/>
      <c r="BP1037" s="92"/>
      <c r="BQ1037" s="92"/>
      <c r="BR1037" s="92"/>
      <c r="BS1037" s="305"/>
    </row>
    <row r="1038" spans="1:71" s="300" customFormat="1" ht="15">
      <c r="A1038" s="638"/>
      <c r="B1038" s="92"/>
      <c r="C1038" s="535"/>
      <c r="D1038" s="535"/>
      <c r="E1038" s="92"/>
      <c r="F1038" s="92"/>
      <c r="G1038" s="92"/>
      <c r="H1038" s="92"/>
      <c r="I1038" s="92"/>
      <c r="J1038" s="92"/>
      <c r="K1038" s="92"/>
      <c r="L1038" s="92"/>
      <c r="M1038" s="92"/>
      <c r="N1038" s="92"/>
      <c r="O1038" s="92"/>
      <c r="P1038" s="92"/>
      <c r="Q1038" s="92"/>
      <c r="R1038" s="92"/>
      <c r="S1038" s="92"/>
      <c r="T1038" s="92"/>
      <c r="U1038" s="92"/>
      <c r="V1038" s="92"/>
      <c r="W1038" s="92"/>
      <c r="X1038" s="92"/>
      <c r="Y1038" s="92"/>
      <c r="Z1038" s="92"/>
      <c r="AA1038" s="92"/>
      <c r="AB1038" s="92"/>
      <c r="AC1038" s="92"/>
      <c r="AD1038" s="92"/>
      <c r="AE1038" s="92"/>
      <c r="AF1038" s="92"/>
      <c r="AG1038" s="92"/>
      <c r="AH1038" s="92"/>
      <c r="AI1038" s="92"/>
      <c r="AJ1038" s="92"/>
      <c r="AK1038" s="92"/>
      <c r="AL1038" s="92"/>
      <c r="AM1038" s="92"/>
      <c r="AN1038" s="92"/>
      <c r="AO1038" s="92"/>
      <c r="AP1038" s="92"/>
      <c r="AQ1038" s="92"/>
      <c r="AR1038" s="92"/>
      <c r="AS1038" s="92"/>
      <c r="AT1038" s="92"/>
      <c r="AU1038" s="92"/>
      <c r="AV1038" s="92"/>
      <c r="AW1038" s="92"/>
      <c r="AX1038" s="92"/>
      <c r="AY1038" s="92"/>
      <c r="AZ1038" s="92"/>
      <c r="BA1038" s="92"/>
      <c r="BB1038" s="92"/>
      <c r="BC1038" s="92"/>
      <c r="BD1038" s="92"/>
      <c r="BE1038" s="92"/>
      <c r="BF1038" s="92"/>
      <c r="BG1038" s="92"/>
      <c r="BH1038" s="464"/>
      <c r="BI1038" s="92"/>
      <c r="BJ1038" s="92"/>
      <c r="BK1038" s="92"/>
      <c r="BL1038" s="92"/>
      <c r="BM1038" s="92"/>
      <c r="BN1038" s="92"/>
      <c r="BO1038" s="92"/>
      <c r="BP1038" s="92"/>
      <c r="BQ1038" s="92"/>
      <c r="BR1038" s="92"/>
      <c r="BS1038" s="305"/>
    </row>
    <row r="1039" spans="1:71" s="300" customFormat="1" ht="15">
      <c r="A1039" s="639" t="s">
        <v>895</v>
      </c>
      <c r="B1039" s="92"/>
      <c r="C1039" s="535"/>
      <c r="D1039" s="535"/>
      <c r="E1039" s="92"/>
      <c r="F1039" s="92"/>
      <c r="G1039" s="92"/>
      <c r="H1039" s="92"/>
      <c r="I1039" s="92"/>
      <c r="J1039" s="92"/>
      <c r="K1039" s="92"/>
      <c r="L1039" s="92"/>
      <c r="M1039" s="92"/>
      <c r="N1039" s="92"/>
      <c r="O1039" s="92"/>
      <c r="P1039" s="92"/>
      <c r="Q1039" s="92"/>
      <c r="R1039" s="92"/>
      <c r="S1039" s="92"/>
      <c r="T1039" s="92"/>
      <c r="U1039" s="92"/>
      <c r="V1039" s="92"/>
      <c r="W1039" s="92"/>
      <c r="X1039" s="92"/>
      <c r="Y1039" s="92"/>
      <c r="Z1039" s="92"/>
      <c r="AA1039" s="92"/>
      <c r="AB1039" s="92"/>
      <c r="AC1039" s="92"/>
      <c r="AD1039" s="92"/>
      <c r="AE1039" s="92"/>
      <c r="AF1039" s="92"/>
      <c r="AG1039" s="92"/>
      <c r="AH1039" s="92"/>
      <c r="AI1039" s="92"/>
      <c r="AJ1039" s="92"/>
      <c r="AK1039" s="92"/>
      <c r="AL1039" s="92"/>
      <c r="AM1039" s="92"/>
      <c r="AN1039" s="92"/>
      <c r="AO1039" s="92"/>
      <c r="AP1039" s="92"/>
      <c r="AQ1039" s="92"/>
      <c r="AR1039" s="92"/>
      <c r="AS1039" s="92"/>
      <c r="AT1039" s="92"/>
      <c r="AU1039" s="92"/>
      <c r="AV1039" s="92"/>
      <c r="AW1039" s="92"/>
      <c r="AX1039" s="92"/>
      <c r="AY1039" s="92"/>
      <c r="AZ1039" s="92"/>
      <c r="BA1039" s="92"/>
      <c r="BB1039" s="92"/>
      <c r="BC1039" s="92"/>
      <c r="BD1039" s="92"/>
      <c r="BE1039" s="92"/>
      <c r="BF1039" s="92"/>
      <c r="BG1039" s="92"/>
      <c r="BH1039" s="464"/>
      <c r="BI1039" s="92"/>
      <c r="BJ1039" s="92"/>
      <c r="BK1039" s="92"/>
      <c r="BL1039" s="92"/>
      <c r="BM1039" s="92"/>
      <c r="BN1039" s="92"/>
      <c r="BO1039" s="92"/>
      <c r="BP1039" s="92"/>
      <c r="BQ1039" s="92"/>
      <c r="BR1039" s="92"/>
      <c r="BS1039" s="305"/>
    </row>
    <row r="1040" spans="1:71" s="300" customFormat="1" ht="15">
      <c r="A1040" s="640" t="s">
        <v>896</v>
      </c>
      <c r="B1040" s="92"/>
      <c r="C1040" s="535"/>
      <c r="D1040" s="535"/>
      <c r="E1040" s="92"/>
      <c r="F1040" s="92"/>
      <c r="G1040" s="92"/>
      <c r="H1040" s="92"/>
      <c r="I1040" s="92"/>
      <c r="J1040" s="92"/>
      <c r="K1040" s="92"/>
      <c r="L1040" s="92"/>
      <c r="M1040" s="92"/>
      <c r="N1040" s="92"/>
      <c r="O1040" s="92"/>
      <c r="P1040" s="92"/>
      <c r="Q1040" s="92"/>
      <c r="R1040" s="92"/>
      <c r="S1040" s="92"/>
      <c r="T1040" s="92"/>
      <c r="U1040" s="92"/>
      <c r="V1040" s="92"/>
      <c r="W1040" s="92"/>
      <c r="X1040" s="92"/>
      <c r="Y1040" s="92"/>
      <c r="Z1040" s="92"/>
      <c r="AA1040" s="92"/>
      <c r="AB1040" s="92"/>
      <c r="AC1040" s="92"/>
      <c r="AD1040" s="92"/>
      <c r="AE1040" s="92"/>
      <c r="AF1040" s="92"/>
      <c r="AG1040" s="92"/>
      <c r="AH1040" s="92"/>
      <c r="AI1040" s="92"/>
      <c r="AJ1040" s="92"/>
      <c r="AK1040" s="92"/>
      <c r="AL1040" s="92"/>
      <c r="AM1040" s="92"/>
      <c r="AN1040" s="92"/>
      <c r="AO1040" s="92"/>
      <c r="AP1040" s="92"/>
      <c r="AQ1040" s="92"/>
      <c r="AR1040" s="92"/>
      <c r="AS1040" s="92"/>
      <c r="AT1040" s="92"/>
      <c r="AU1040" s="92"/>
      <c r="AV1040" s="92"/>
      <c r="AW1040" s="92"/>
      <c r="AX1040" s="92"/>
      <c r="AY1040" s="92"/>
      <c r="AZ1040" s="92"/>
      <c r="BA1040" s="92"/>
      <c r="BB1040" s="92"/>
      <c r="BC1040" s="92"/>
      <c r="BD1040" s="92"/>
      <c r="BE1040" s="92"/>
      <c r="BF1040" s="92"/>
      <c r="BG1040" s="92"/>
      <c r="BH1040" s="464"/>
      <c r="BI1040" s="92"/>
      <c r="BJ1040" s="92"/>
      <c r="BK1040" s="92"/>
      <c r="BL1040" s="92"/>
      <c r="BM1040" s="92"/>
      <c r="BN1040" s="92"/>
      <c r="BO1040" s="92"/>
      <c r="BP1040" s="92"/>
      <c r="BQ1040" s="92"/>
      <c r="BR1040" s="92"/>
      <c r="BS1040" s="305"/>
    </row>
    <row r="1041" spans="1:71" s="300" customFormat="1" ht="15">
      <c r="A1041" s="640" t="s">
        <v>897</v>
      </c>
      <c r="B1041" s="92"/>
      <c r="C1041" s="535"/>
      <c r="D1041" s="535"/>
      <c r="E1041" s="92"/>
      <c r="F1041" s="92"/>
      <c r="G1041" s="92"/>
      <c r="H1041" s="92"/>
      <c r="I1041" s="92"/>
      <c r="J1041" s="92"/>
      <c r="K1041" s="92"/>
      <c r="L1041" s="92"/>
      <c r="M1041" s="92"/>
      <c r="N1041" s="92"/>
      <c r="O1041" s="92"/>
      <c r="P1041" s="92"/>
      <c r="Q1041" s="92"/>
      <c r="R1041" s="92"/>
      <c r="S1041" s="92"/>
      <c r="T1041" s="92"/>
      <c r="U1041" s="92"/>
      <c r="V1041" s="92"/>
      <c r="W1041" s="92"/>
      <c r="X1041" s="92"/>
      <c r="Y1041" s="92"/>
      <c r="Z1041" s="92"/>
      <c r="AA1041" s="92"/>
      <c r="AB1041" s="92"/>
      <c r="AC1041" s="92"/>
      <c r="AD1041" s="92"/>
      <c r="AE1041" s="92"/>
      <c r="AF1041" s="92"/>
      <c r="AG1041" s="92"/>
      <c r="AH1041" s="92"/>
      <c r="AI1041" s="92"/>
      <c r="AJ1041" s="92"/>
      <c r="AK1041" s="92"/>
      <c r="AL1041" s="92"/>
      <c r="AM1041" s="92"/>
      <c r="AN1041" s="92"/>
      <c r="AO1041" s="92"/>
      <c r="AP1041" s="92"/>
      <c r="AQ1041" s="92"/>
      <c r="AR1041" s="92"/>
      <c r="AS1041" s="92"/>
      <c r="AT1041" s="92"/>
      <c r="AU1041" s="92"/>
      <c r="AV1041" s="92"/>
      <c r="AW1041" s="92"/>
      <c r="AX1041" s="92"/>
      <c r="AY1041" s="92"/>
      <c r="AZ1041" s="92"/>
      <c r="BA1041" s="92"/>
      <c r="BB1041" s="92"/>
      <c r="BC1041" s="92"/>
      <c r="BD1041" s="92"/>
      <c r="BE1041" s="92"/>
      <c r="BF1041" s="92"/>
      <c r="BG1041" s="92"/>
      <c r="BH1041" s="464"/>
      <c r="BI1041" s="92"/>
      <c r="BJ1041" s="92"/>
      <c r="BK1041" s="92"/>
      <c r="BL1041" s="92"/>
      <c r="BM1041" s="92"/>
      <c r="BN1041" s="92"/>
      <c r="BO1041" s="92"/>
      <c r="BP1041" s="92"/>
      <c r="BQ1041" s="92"/>
      <c r="BR1041" s="92"/>
      <c r="BS1041" s="305"/>
    </row>
    <row r="1042" spans="1:71" s="300" customFormat="1" ht="15">
      <c r="A1042" s="640" t="s">
        <v>898</v>
      </c>
      <c r="B1042" s="92"/>
      <c r="C1042" s="535"/>
      <c r="D1042" s="535"/>
      <c r="E1042" s="92"/>
      <c r="F1042" s="92"/>
      <c r="G1042" s="92"/>
      <c r="H1042" s="92"/>
      <c r="I1042" s="92"/>
      <c r="J1042" s="92"/>
      <c r="K1042" s="92"/>
      <c r="L1042" s="92"/>
      <c r="M1042" s="92"/>
      <c r="N1042" s="92"/>
      <c r="O1042" s="92"/>
      <c r="P1042" s="92"/>
      <c r="Q1042" s="92"/>
      <c r="R1042" s="92"/>
      <c r="S1042" s="92"/>
      <c r="T1042" s="92"/>
      <c r="U1042" s="92"/>
      <c r="V1042" s="92"/>
      <c r="W1042" s="92"/>
      <c r="X1042" s="92"/>
      <c r="Y1042" s="92"/>
      <c r="Z1042" s="92"/>
      <c r="AA1042" s="92"/>
      <c r="AB1042" s="92"/>
      <c r="AC1042" s="92"/>
      <c r="AD1042" s="92"/>
      <c r="AE1042" s="92"/>
      <c r="AF1042" s="92"/>
      <c r="AG1042" s="92"/>
      <c r="AH1042" s="92"/>
      <c r="AI1042" s="92"/>
      <c r="AJ1042" s="92"/>
      <c r="AK1042" s="92"/>
      <c r="AL1042" s="92"/>
      <c r="AM1042" s="92"/>
      <c r="AN1042" s="92"/>
      <c r="AO1042" s="92"/>
      <c r="AP1042" s="92"/>
      <c r="AQ1042" s="92"/>
      <c r="AR1042" s="92"/>
      <c r="AS1042" s="92"/>
      <c r="AT1042" s="92"/>
      <c r="AU1042" s="92"/>
      <c r="AV1042" s="92"/>
      <c r="AW1042" s="92"/>
      <c r="AX1042" s="92"/>
      <c r="AY1042" s="92"/>
      <c r="AZ1042" s="92"/>
      <c r="BA1042" s="92"/>
      <c r="BB1042" s="92"/>
      <c r="BC1042" s="92"/>
      <c r="BD1042" s="92"/>
      <c r="BE1042" s="92"/>
      <c r="BF1042" s="92"/>
      <c r="BG1042" s="92"/>
      <c r="BH1042" s="464"/>
      <c r="BI1042" s="92"/>
      <c r="BJ1042" s="92"/>
      <c r="BK1042" s="92"/>
      <c r="BL1042" s="92"/>
      <c r="BM1042" s="92"/>
      <c r="BN1042" s="92"/>
      <c r="BO1042" s="92"/>
      <c r="BP1042" s="92"/>
      <c r="BQ1042" s="92"/>
      <c r="BR1042" s="92"/>
      <c r="BS1042" s="305"/>
    </row>
    <row r="1043" spans="1:71" s="300" customFormat="1" ht="15">
      <c r="A1043" s="640" t="s">
        <v>899</v>
      </c>
      <c r="B1043" s="92"/>
      <c r="C1043" s="535"/>
      <c r="D1043" s="535"/>
      <c r="E1043" s="92"/>
      <c r="F1043" s="92"/>
      <c r="G1043" s="92"/>
      <c r="H1043" s="92"/>
      <c r="I1043" s="92"/>
      <c r="J1043" s="92"/>
      <c r="K1043" s="92"/>
      <c r="L1043" s="92"/>
      <c r="M1043" s="92"/>
      <c r="N1043" s="92"/>
      <c r="O1043" s="92"/>
      <c r="P1043" s="92"/>
      <c r="Q1043" s="92"/>
      <c r="R1043" s="92"/>
      <c r="S1043" s="92"/>
      <c r="T1043" s="92"/>
      <c r="U1043" s="92"/>
      <c r="V1043" s="92"/>
      <c r="W1043" s="92"/>
      <c r="X1043" s="92"/>
      <c r="Y1043" s="92"/>
      <c r="Z1043" s="92"/>
      <c r="AA1043" s="92"/>
      <c r="AB1043" s="92"/>
      <c r="AC1043" s="92"/>
      <c r="AD1043" s="92"/>
      <c r="AE1043" s="92"/>
      <c r="AF1043" s="92"/>
      <c r="AG1043" s="92"/>
      <c r="AH1043" s="92"/>
      <c r="AI1043" s="92"/>
      <c r="AJ1043" s="92"/>
      <c r="AK1043" s="92"/>
      <c r="AL1043" s="92"/>
      <c r="AM1043" s="92"/>
      <c r="AN1043" s="92"/>
      <c r="AO1043" s="92"/>
      <c r="AP1043" s="92"/>
      <c r="AQ1043" s="92"/>
      <c r="AR1043" s="92"/>
      <c r="AS1043" s="92"/>
      <c r="AT1043" s="92"/>
      <c r="AU1043" s="92"/>
      <c r="AV1043" s="92"/>
      <c r="AW1043" s="92"/>
      <c r="AX1043" s="92"/>
      <c r="AY1043" s="92"/>
      <c r="AZ1043" s="92"/>
      <c r="BA1043" s="92"/>
      <c r="BB1043" s="92"/>
      <c r="BC1043" s="92"/>
      <c r="BD1043" s="92"/>
      <c r="BE1043" s="92"/>
      <c r="BF1043" s="92"/>
      <c r="BG1043" s="92"/>
      <c r="BH1043" s="464"/>
      <c r="BI1043" s="92"/>
      <c r="BJ1043" s="92"/>
      <c r="BK1043" s="92"/>
      <c r="BL1043" s="92"/>
      <c r="BM1043" s="92"/>
      <c r="BN1043" s="92"/>
      <c r="BO1043" s="92"/>
      <c r="BP1043" s="92"/>
      <c r="BQ1043" s="92"/>
      <c r="BR1043" s="92"/>
      <c r="BS1043" s="305"/>
    </row>
    <row r="1044" spans="1:71" s="300" customFormat="1" ht="15">
      <c r="A1044" s="640" t="s">
        <v>932</v>
      </c>
      <c r="B1044" s="92"/>
      <c r="C1044" s="535"/>
      <c r="D1044" s="535"/>
      <c r="E1044" s="92"/>
      <c r="F1044" s="92"/>
      <c r="G1044" s="92"/>
      <c r="H1044" s="92"/>
      <c r="I1044" s="92"/>
      <c r="J1044" s="92"/>
      <c r="K1044" s="92"/>
      <c r="L1044" s="92"/>
      <c r="M1044" s="92"/>
      <c r="N1044" s="92"/>
      <c r="O1044" s="92"/>
      <c r="P1044" s="92"/>
      <c r="Q1044" s="92"/>
      <c r="R1044" s="92"/>
      <c r="S1044" s="92"/>
      <c r="T1044" s="92"/>
      <c r="U1044" s="92"/>
      <c r="V1044" s="92"/>
      <c r="W1044" s="92"/>
      <c r="X1044" s="92"/>
      <c r="Y1044" s="92"/>
      <c r="Z1044" s="92"/>
      <c r="AA1044" s="92"/>
      <c r="AB1044" s="92"/>
      <c r="AC1044" s="92"/>
      <c r="AD1044" s="92"/>
      <c r="AE1044" s="92"/>
      <c r="AF1044" s="92"/>
      <c r="AG1044" s="92"/>
      <c r="AH1044" s="92"/>
      <c r="AI1044" s="92"/>
      <c r="AJ1044" s="92"/>
      <c r="AK1044" s="92"/>
      <c r="AL1044" s="92"/>
      <c r="AM1044" s="92"/>
      <c r="AN1044" s="92"/>
      <c r="AO1044" s="92"/>
      <c r="AP1044" s="92"/>
      <c r="AQ1044" s="92"/>
      <c r="AR1044" s="92"/>
      <c r="AS1044" s="92"/>
      <c r="AT1044" s="92"/>
      <c r="AU1044" s="92"/>
      <c r="AV1044" s="92"/>
      <c r="AW1044" s="92"/>
      <c r="AX1044" s="92"/>
      <c r="AY1044" s="92"/>
      <c r="AZ1044" s="92"/>
      <c r="BA1044" s="92"/>
      <c r="BB1044" s="92"/>
      <c r="BC1044" s="92"/>
      <c r="BD1044" s="92"/>
      <c r="BE1044" s="92"/>
      <c r="BF1044" s="92"/>
      <c r="BG1044" s="92"/>
      <c r="BH1044" s="464"/>
      <c r="BI1044" s="92"/>
      <c r="BJ1044" s="92"/>
      <c r="BK1044" s="92"/>
      <c r="BL1044" s="92"/>
      <c r="BM1044" s="92"/>
      <c r="BN1044" s="92"/>
      <c r="BO1044" s="92"/>
      <c r="BP1044" s="92"/>
      <c r="BQ1044" s="92"/>
      <c r="BR1044" s="92"/>
      <c r="BS1044" s="305"/>
    </row>
    <row r="1045" spans="1:71" s="300" customFormat="1" ht="15">
      <c r="A1045" s="640" t="s">
        <v>933</v>
      </c>
      <c r="B1045" s="92"/>
      <c r="C1045" s="535"/>
      <c r="D1045" s="535"/>
      <c r="E1045" s="92"/>
      <c r="F1045" s="92"/>
      <c r="G1045" s="92"/>
      <c r="H1045" s="92"/>
      <c r="I1045" s="92"/>
      <c r="J1045" s="92"/>
      <c r="K1045" s="92"/>
      <c r="L1045" s="92"/>
      <c r="M1045" s="92"/>
      <c r="N1045" s="92"/>
      <c r="O1045" s="92"/>
      <c r="P1045" s="92"/>
      <c r="Q1045" s="92"/>
      <c r="R1045" s="92"/>
      <c r="S1045" s="92"/>
      <c r="T1045" s="92"/>
      <c r="U1045" s="92"/>
      <c r="V1045" s="92"/>
      <c r="W1045" s="92"/>
      <c r="X1045" s="92"/>
      <c r="Y1045" s="92"/>
      <c r="Z1045" s="92"/>
      <c r="AA1045" s="92"/>
      <c r="AB1045" s="92"/>
      <c r="AC1045" s="92"/>
      <c r="AD1045" s="92"/>
      <c r="AE1045" s="92"/>
      <c r="AF1045" s="92"/>
      <c r="AG1045" s="92"/>
      <c r="AH1045" s="92"/>
      <c r="AI1045" s="92"/>
      <c r="AJ1045" s="92"/>
      <c r="AK1045" s="92"/>
      <c r="AL1045" s="92"/>
      <c r="AM1045" s="92"/>
      <c r="AN1045" s="92"/>
      <c r="AO1045" s="92"/>
      <c r="AP1045" s="92"/>
      <c r="AQ1045" s="92"/>
      <c r="AR1045" s="92"/>
      <c r="AS1045" s="92"/>
      <c r="AT1045" s="92"/>
      <c r="AU1045" s="92"/>
      <c r="AV1045" s="92"/>
      <c r="AW1045" s="92"/>
      <c r="AX1045" s="92"/>
      <c r="AY1045" s="92"/>
      <c r="AZ1045" s="92"/>
      <c r="BA1045" s="92"/>
      <c r="BB1045" s="92"/>
      <c r="BC1045" s="92"/>
      <c r="BD1045" s="92"/>
      <c r="BE1045" s="92"/>
      <c r="BF1045" s="92"/>
      <c r="BG1045" s="92"/>
      <c r="BH1045" s="464"/>
      <c r="BI1045" s="92"/>
      <c r="BJ1045" s="92"/>
      <c r="BK1045" s="92"/>
      <c r="BL1045" s="92"/>
      <c r="BM1045" s="92"/>
      <c r="BN1045" s="92"/>
      <c r="BO1045" s="92"/>
      <c r="BP1045" s="92"/>
      <c r="BQ1045" s="92"/>
      <c r="BR1045" s="92"/>
      <c r="BS1045" s="305"/>
    </row>
    <row r="1046" spans="1:71" s="300" customFormat="1" ht="15">
      <c r="A1046" s="640" t="s">
        <v>934</v>
      </c>
      <c r="B1046" s="92"/>
      <c r="C1046" s="535"/>
      <c r="D1046" s="535"/>
      <c r="E1046" s="92"/>
      <c r="F1046" s="92"/>
      <c r="G1046" s="92"/>
      <c r="H1046" s="92"/>
      <c r="I1046" s="92"/>
      <c r="J1046" s="92"/>
      <c r="K1046" s="92"/>
      <c r="L1046" s="92"/>
      <c r="M1046" s="92"/>
      <c r="N1046" s="92"/>
      <c r="O1046" s="92"/>
      <c r="P1046" s="92"/>
      <c r="Q1046" s="92"/>
      <c r="R1046" s="92"/>
      <c r="S1046" s="92"/>
      <c r="T1046" s="92"/>
      <c r="U1046" s="92"/>
      <c r="V1046" s="92"/>
      <c r="W1046" s="92"/>
      <c r="X1046" s="92"/>
      <c r="Y1046" s="92"/>
      <c r="Z1046" s="92"/>
      <c r="AA1046" s="92"/>
      <c r="AB1046" s="92"/>
      <c r="AC1046" s="92"/>
      <c r="AD1046" s="92"/>
      <c r="AE1046" s="92"/>
      <c r="AF1046" s="92"/>
      <c r="AG1046" s="92"/>
      <c r="AH1046" s="92"/>
      <c r="AI1046" s="92"/>
      <c r="AJ1046" s="92"/>
      <c r="AK1046" s="92"/>
      <c r="AL1046" s="92"/>
      <c r="AM1046" s="92"/>
      <c r="AN1046" s="92"/>
      <c r="AO1046" s="92"/>
      <c r="AP1046" s="92"/>
      <c r="AQ1046" s="92"/>
      <c r="AR1046" s="92"/>
      <c r="AS1046" s="92"/>
      <c r="AT1046" s="92"/>
      <c r="AU1046" s="92"/>
      <c r="AV1046" s="92"/>
      <c r="AW1046" s="92"/>
      <c r="AX1046" s="92"/>
      <c r="AY1046" s="92"/>
      <c r="AZ1046" s="92"/>
      <c r="BA1046" s="92"/>
      <c r="BB1046" s="92"/>
      <c r="BC1046" s="92"/>
      <c r="BD1046" s="92"/>
      <c r="BE1046" s="92"/>
      <c r="BF1046" s="92"/>
      <c r="BG1046" s="92"/>
      <c r="BH1046" s="464"/>
      <c r="BI1046" s="92"/>
      <c r="BJ1046" s="92"/>
      <c r="BK1046" s="92"/>
      <c r="BL1046" s="92"/>
      <c r="BM1046" s="92"/>
      <c r="BN1046" s="92"/>
      <c r="BO1046" s="92"/>
      <c r="BP1046" s="92"/>
      <c r="BQ1046" s="92"/>
      <c r="BR1046" s="92"/>
      <c r="BS1046" s="305"/>
    </row>
    <row r="1047" spans="1:71" s="300" customFormat="1" ht="15">
      <c r="A1047" s="640" t="s">
        <v>935</v>
      </c>
      <c r="B1047" s="92"/>
      <c r="C1047" s="535"/>
      <c r="D1047" s="535"/>
      <c r="E1047" s="92"/>
      <c r="F1047" s="92"/>
      <c r="G1047" s="92"/>
      <c r="H1047" s="92"/>
      <c r="I1047" s="92"/>
      <c r="J1047" s="92"/>
      <c r="K1047" s="92"/>
      <c r="L1047" s="92"/>
      <c r="M1047" s="92"/>
      <c r="N1047" s="92"/>
      <c r="O1047" s="92"/>
      <c r="P1047" s="92"/>
      <c r="Q1047" s="92"/>
      <c r="R1047" s="92"/>
      <c r="S1047" s="92"/>
      <c r="T1047" s="92"/>
      <c r="U1047" s="92"/>
      <c r="V1047" s="92"/>
      <c r="W1047" s="92"/>
      <c r="X1047" s="92"/>
      <c r="Y1047" s="92"/>
      <c r="Z1047" s="92"/>
      <c r="AA1047" s="92"/>
      <c r="AB1047" s="92"/>
      <c r="AC1047" s="92"/>
      <c r="AD1047" s="92"/>
      <c r="AE1047" s="92"/>
      <c r="AF1047" s="92"/>
      <c r="AG1047" s="92"/>
      <c r="AH1047" s="92"/>
      <c r="AI1047" s="92"/>
      <c r="AJ1047" s="92"/>
      <c r="AK1047" s="92"/>
      <c r="AL1047" s="92"/>
      <c r="AM1047" s="92"/>
      <c r="AN1047" s="92"/>
      <c r="AO1047" s="92"/>
      <c r="AP1047" s="92"/>
      <c r="AQ1047" s="92"/>
      <c r="AR1047" s="92"/>
      <c r="AS1047" s="92"/>
      <c r="AT1047" s="92"/>
      <c r="AU1047" s="92"/>
      <c r="AV1047" s="92"/>
      <c r="AW1047" s="92"/>
      <c r="AX1047" s="92"/>
      <c r="AY1047" s="92"/>
      <c r="AZ1047" s="92"/>
      <c r="BA1047" s="92"/>
      <c r="BB1047" s="92"/>
      <c r="BC1047" s="92"/>
      <c r="BD1047" s="92"/>
      <c r="BE1047" s="92"/>
      <c r="BF1047" s="92"/>
      <c r="BG1047" s="92"/>
      <c r="BH1047" s="464"/>
      <c r="BI1047" s="92"/>
      <c r="BJ1047" s="92"/>
      <c r="BK1047" s="92"/>
      <c r="BL1047" s="92"/>
      <c r="BM1047" s="92"/>
      <c r="BN1047" s="92"/>
      <c r="BO1047" s="92"/>
      <c r="BP1047" s="92"/>
      <c r="BQ1047" s="92"/>
      <c r="BR1047" s="92"/>
      <c r="BS1047" s="305"/>
    </row>
    <row r="1048" spans="1:71" s="300" customFormat="1" ht="15">
      <c r="A1048" s="640" t="s">
        <v>936</v>
      </c>
      <c r="B1048" s="92"/>
      <c r="C1048" s="535"/>
      <c r="D1048" s="535"/>
      <c r="E1048" s="92"/>
      <c r="F1048" s="92"/>
      <c r="G1048" s="92"/>
      <c r="H1048" s="92"/>
      <c r="I1048" s="92"/>
      <c r="J1048" s="92"/>
      <c r="K1048" s="92"/>
      <c r="L1048" s="92"/>
      <c r="M1048" s="92"/>
      <c r="N1048" s="92"/>
      <c r="O1048" s="92"/>
      <c r="P1048" s="92"/>
      <c r="Q1048" s="92"/>
      <c r="R1048" s="92"/>
      <c r="S1048" s="92"/>
      <c r="T1048" s="92"/>
      <c r="U1048" s="92"/>
      <c r="V1048" s="92"/>
      <c r="W1048" s="92"/>
      <c r="X1048" s="92"/>
      <c r="Y1048" s="92"/>
      <c r="Z1048" s="92"/>
      <c r="AA1048" s="92"/>
      <c r="AB1048" s="92"/>
      <c r="AC1048" s="92"/>
      <c r="AD1048" s="92"/>
      <c r="AE1048" s="92"/>
      <c r="AF1048" s="92"/>
      <c r="AG1048" s="92"/>
      <c r="AH1048" s="92"/>
      <c r="AI1048" s="92"/>
      <c r="AJ1048" s="92"/>
      <c r="AK1048" s="92"/>
      <c r="AL1048" s="92"/>
      <c r="AM1048" s="92"/>
      <c r="AN1048" s="92"/>
      <c r="AO1048" s="92"/>
      <c r="AP1048" s="92"/>
      <c r="AQ1048" s="92"/>
      <c r="AR1048" s="92"/>
      <c r="AS1048" s="92"/>
      <c r="AT1048" s="92"/>
      <c r="AU1048" s="92"/>
      <c r="AV1048" s="92"/>
      <c r="AW1048" s="92"/>
      <c r="AX1048" s="92"/>
      <c r="AY1048" s="92"/>
      <c r="AZ1048" s="92"/>
      <c r="BA1048" s="92"/>
      <c r="BB1048" s="92"/>
      <c r="BC1048" s="92"/>
      <c r="BD1048" s="92"/>
      <c r="BE1048" s="92"/>
      <c r="BF1048" s="92"/>
      <c r="BG1048" s="92"/>
      <c r="BH1048" s="464"/>
      <c r="BI1048" s="92"/>
      <c r="BJ1048" s="92"/>
      <c r="BK1048" s="92"/>
      <c r="BL1048" s="92"/>
      <c r="BM1048" s="92"/>
      <c r="BN1048" s="92"/>
      <c r="BO1048" s="92"/>
      <c r="BP1048" s="92"/>
      <c r="BQ1048" s="92"/>
      <c r="BR1048" s="92"/>
      <c r="BS1048" s="305"/>
    </row>
    <row r="1049" spans="1:71" s="300" customFormat="1" ht="15">
      <c r="A1049" s="640" t="s">
        <v>937</v>
      </c>
      <c r="B1049" s="92"/>
      <c r="C1049" s="535"/>
      <c r="D1049" s="535"/>
      <c r="E1049" s="92"/>
      <c r="F1049" s="92"/>
      <c r="G1049" s="92"/>
      <c r="H1049" s="92"/>
      <c r="I1049" s="92"/>
      <c r="J1049" s="92"/>
      <c r="K1049" s="92"/>
      <c r="L1049" s="92"/>
      <c r="M1049" s="92"/>
      <c r="N1049" s="92"/>
      <c r="O1049" s="92"/>
      <c r="P1049" s="92"/>
      <c r="Q1049" s="92"/>
      <c r="R1049" s="92"/>
      <c r="S1049" s="92"/>
      <c r="T1049" s="92"/>
      <c r="U1049" s="92"/>
      <c r="V1049" s="92"/>
      <c r="W1049" s="92"/>
      <c r="X1049" s="92"/>
      <c r="Y1049" s="92"/>
      <c r="Z1049" s="92"/>
      <c r="AA1049" s="92"/>
      <c r="AB1049" s="92"/>
      <c r="AC1049" s="92"/>
      <c r="AD1049" s="92"/>
      <c r="AE1049" s="92"/>
      <c r="AF1049" s="92"/>
      <c r="AG1049" s="92"/>
      <c r="AH1049" s="92"/>
      <c r="AI1049" s="92"/>
      <c r="AJ1049" s="92"/>
      <c r="AK1049" s="92"/>
      <c r="AL1049" s="92"/>
      <c r="AM1049" s="92"/>
      <c r="AN1049" s="92"/>
      <c r="AO1049" s="92"/>
      <c r="AP1049" s="92"/>
      <c r="AQ1049" s="92"/>
      <c r="AR1049" s="92"/>
      <c r="AS1049" s="92"/>
      <c r="AT1049" s="92"/>
      <c r="AU1049" s="92"/>
      <c r="AV1049" s="92"/>
      <c r="AW1049" s="92"/>
      <c r="AX1049" s="92"/>
      <c r="AY1049" s="92"/>
      <c r="AZ1049" s="92"/>
      <c r="BA1049" s="92"/>
      <c r="BB1049" s="92"/>
      <c r="BC1049" s="92"/>
      <c r="BD1049" s="92"/>
      <c r="BE1049" s="92"/>
      <c r="BF1049" s="92"/>
      <c r="BG1049" s="92"/>
      <c r="BH1049" s="464"/>
      <c r="BI1049" s="92"/>
      <c r="BJ1049" s="92"/>
      <c r="BK1049" s="92"/>
      <c r="BL1049" s="92"/>
      <c r="BM1049" s="92"/>
      <c r="BN1049" s="92"/>
      <c r="BO1049" s="92"/>
      <c r="BP1049" s="92"/>
      <c r="BQ1049" s="92"/>
      <c r="BR1049" s="92"/>
      <c r="BS1049" s="305"/>
    </row>
    <row r="1050" spans="1:71" s="300" customFormat="1" ht="15">
      <c r="A1050" s="640" t="s">
        <v>938</v>
      </c>
      <c r="B1050" s="92"/>
      <c r="C1050" s="535"/>
      <c r="D1050" s="535"/>
      <c r="E1050" s="92"/>
      <c r="F1050" s="92"/>
      <c r="G1050" s="92"/>
      <c r="H1050" s="92"/>
      <c r="I1050" s="92"/>
      <c r="J1050" s="92"/>
      <c r="K1050" s="92"/>
      <c r="L1050" s="92"/>
      <c r="M1050" s="92"/>
      <c r="N1050" s="92"/>
      <c r="O1050" s="92"/>
      <c r="P1050" s="92"/>
      <c r="Q1050" s="92"/>
      <c r="R1050" s="92"/>
      <c r="S1050" s="92"/>
      <c r="T1050" s="92"/>
      <c r="U1050" s="92"/>
      <c r="V1050" s="92"/>
      <c r="W1050" s="92"/>
      <c r="X1050" s="92"/>
      <c r="Y1050" s="92"/>
      <c r="Z1050" s="92"/>
      <c r="AA1050" s="92"/>
      <c r="AB1050" s="92"/>
      <c r="AC1050" s="92"/>
      <c r="AD1050" s="92"/>
      <c r="AE1050" s="92"/>
      <c r="AF1050" s="92"/>
      <c r="AG1050" s="92"/>
      <c r="AH1050" s="92"/>
      <c r="AI1050" s="92"/>
      <c r="AJ1050" s="92"/>
      <c r="AK1050" s="92"/>
      <c r="AL1050" s="92"/>
      <c r="AM1050" s="92"/>
      <c r="AN1050" s="92"/>
      <c r="AO1050" s="92"/>
      <c r="AP1050" s="92"/>
      <c r="AQ1050" s="92"/>
      <c r="AR1050" s="92"/>
      <c r="AS1050" s="92"/>
      <c r="AT1050" s="92"/>
      <c r="AU1050" s="92"/>
      <c r="AV1050" s="92"/>
      <c r="AW1050" s="92"/>
      <c r="AX1050" s="92"/>
      <c r="AY1050" s="92"/>
      <c r="AZ1050" s="92"/>
      <c r="BA1050" s="92"/>
      <c r="BB1050" s="92"/>
      <c r="BC1050" s="92"/>
      <c r="BD1050" s="92"/>
      <c r="BE1050" s="92"/>
      <c r="BF1050" s="92"/>
      <c r="BG1050" s="92"/>
      <c r="BH1050" s="464"/>
      <c r="BI1050" s="92"/>
      <c r="BJ1050" s="92"/>
      <c r="BK1050" s="92"/>
      <c r="BL1050" s="92"/>
      <c r="BM1050" s="92"/>
      <c r="BN1050" s="92"/>
      <c r="BO1050" s="92"/>
      <c r="BP1050" s="92"/>
      <c r="BQ1050" s="92"/>
      <c r="BR1050" s="92"/>
      <c r="BS1050" s="305"/>
    </row>
    <row r="1051" spans="1:71" s="300" customFormat="1" ht="15">
      <c r="A1051" s="640" t="s">
        <v>939</v>
      </c>
      <c r="B1051" s="92"/>
      <c r="C1051" s="535"/>
      <c r="D1051" s="535"/>
      <c r="E1051" s="92"/>
      <c r="F1051" s="92"/>
      <c r="G1051" s="92"/>
      <c r="H1051" s="92"/>
      <c r="I1051" s="92"/>
      <c r="J1051" s="92"/>
      <c r="K1051" s="92"/>
      <c r="L1051" s="92"/>
      <c r="M1051" s="92"/>
      <c r="N1051" s="92"/>
      <c r="O1051" s="92"/>
      <c r="P1051" s="92"/>
      <c r="Q1051" s="92"/>
      <c r="R1051" s="92"/>
      <c r="S1051" s="92"/>
      <c r="T1051" s="92"/>
      <c r="U1051" s="92"/>
      <c r="V1051" s="92"/>
      <c r="W1051" s="92"/>
      <c r="X1051" s="92"/>
      <c r="Y1051" s="92"/>
      <c r="Z1051" s="92"/>
      <c r="AA1051" s="92"/>
      <c r="AB1051" s="92"/>
      <c r="AC1051" s="92"/>
      <c r="AD1051" s="92"/>
      <c r="AE1051" s="92"/>
      <c r="AF1051" s="92"/>
      <c r="AG1051" s="92"/>
      <c r="AH1051" s="92"/>
      <c r="AI1051" s="92"/>
      <c r="AJ1051" s="92"/>
      <c r="AK1051" s="92"/>
      <c r="AL1051" s="92"/>
      <c r="AM1051" s="92"/>
      <c r="AN1051" s="92"/>
      <c r="AO1051" s="92"/>
      <c r="AP1051" s="92"/>
      <c r="AQ1051" s="92"/>
      <c r="AR1051" s="92"/>
      <c r="AS1051" s="92"/>
      <c r="AT1051" s="92"/>
      <c r="AU1051" s="92"/>
      <c r="AV1051" s="92"/>
      <c r="AW1051" s="92"/>
      <c r="AX1051" s="92"/>
      <c r="AY1051" s="92"/>
      <c r="AZ1051" s="92"/>
      <c r="BA1051" s="92"/>
      <c r="BB1051" s="92"/>
      <c r="BC1051" s="92"/>
      <c r="BD1051" s="92"/>
      <c r="BE1051" s="92"/>
      <c r="BF1051" s="92"/>
      <c r="BG1051" s="92"/>
      <c r="BH1051" s="464"/>
      <c r="BI1051" s="92"/>
      <c r="BJ1051" s="92"/>
      <c r="BK1051" s="92"/>
      <c r="BL1051" s="92"/>
      <c r="BM1051" s="92"/>
      <c r="BN1051" s="92"/>
      <c r="BO1051" s="92"/>
      <c r="BP1051" s="92"/>
      <c r="BQ1051" s="92"/>
      <c r="BR1051" s="92"/>
      <c r="BS1051" s="305"/>
    </row>
    <row r="1052" spans="1:71" s="300" customFormat="1" ht="15">
      <c r="A1052" s="640" t="s">
        <v>940</v>
      </c>
      <c r="B1052" s="92"/>
      <c r="C1052" s="535"/>
      <c r="D1052" s="535"/>
      <c r="E1052" s="92"/>
      <c r="F1052" s="92"/>
      <c r="G1052" s="92"/>
      <c r="H1052" s="92"/>
      <c r="I1052" s="92"/>
      <c r="J1052" s="92"/>
      <c r="K1052" s="92"/>
      <c r="L1052" s="92"/>
      <c r="M1052" s="92"/>
      <c r="N1052" s="92"/>
      <c r="O1052" s="92"/>
      <c r="P1052" s="92"/>
      <c r="Q1052" s="92"/>
      <c r="R1052" s="92"/>
      <c r="S1052" s="92"/>
      <c r="T1052" s="92"/>
      <c r="U1052" s="92"/>
      <c r="V1052" s="92"/>
      <c r="W1052" s="92"/>
      <c r="X1052" s="92"/>
      <c r="Y1052" s="92"/>
      <c r="Z1052" s="92"/>
      <c r="AA1052" s="92"/>
      <c r="AB1052" s="92"/>
      <c r="AC1052" s="92"/>
      <c r="AD1052" s="92"/>
      <c r="AE1052" s="92"/>
      <c r="AF1052" s="92"/>
      <c r="AG1052" s="92"/>
      <c r="AH1052" s="92"/>
      <c r="AI1052" s="92"/>
      <c r="AJ1052" s="92"/>
      <c r="AK1052" s="92"/>
      <c r="AL1052" s="92"/>
      <c r="AM1052" s="92"/>
      <c r="AN1052" s="92"/>
      <c r="AO1052" s="92"/>
      <c r="AP1052" s="92"/>
      <c r="AQ1052" s="92"/>
      <c r="AR1052" s="92"/>
      <c r="AS1052" s="92"/>
      <c r="AT1052" s="92"/>
      <c r="AU1052" s="92"/>
      <c r="AV1052" s="92"/>
      <c r="AW1052" s="92"/>
      <c r="AX1052" s="92"/>
      <c r="AY1052" s="92"/>
      <c r="AZ1052" s="92"/>
      <c r="BA1052" s="92"/>
      <c r="BB1052" s="92"/>
      <c r="BC1052" s="92"/>
      <c r="BD1052" s="92"/>
      <c r="BE1052" s="92"/>
      <c r="BF1052" s="92"/>
      <c r="BG1052" s="92"/>
      <c r="BH1052" s="464"/>
      <c r="BI1052" s="92"/>
      <c r="BJ1052" s="92"/>
      <c r="BK1052" s="92"/>
      <c r="BL1052" s="92"/>
      <c r="BM1052" s="92"/>
      <c r="BN1052" s="92"/>
      <c r="BO1052" s="92"/>
      <c r="BP1052" s="92"/>
      <c r="BQ1052" s="92"/>
      <c r="BR1052" s="92"/>
      <c r="BS1052" s="305"/>
    </row>
    <row r="1053" spans="1:71" s="300" customFormat="1" ht="15">
      <c r="A1053" s="640" t="s">
        <v>941</v>
      </c>
      <c r="B1053" s="92"/>
      <c r="C1053" s="535"/>
      <c r="D1053" s="535"/>
      <c r="E1053" s="92"/>
      <c r="F1053" s="92"/>
      <c r="G1053" s="92"/>
      <c r="H1053" s="92"/>
      <c r="I1053" s="92"/>
      <c r="J1053" s="92"/>
      <c r="K1053" s="92"/>
      <c r="L1053" s="92"/>
      <c r="M1053" s="92"/>
      <c r="N1053" s="92"/>
      <c r="O1053" s="92"/>
      <c r="P1053" s="92"/>
      <c r="Q1053" s="92"/>
      <c r="R1053" s="92"/>
      <c r="S1053" s="92"/>
      <c r="T1053" s="92"/>
      <c r="U1053" s="92"/>
      <c r="V1053" s="92"/>
      <c r="W1053" s="92"/>
      <c r="X1053" s="92"/>
      <c r="Y1053" s="92"/>
      <c r="Z1053" s="92"/>
      <c r="AA1053" s="92"/>
      <c r="AB1053" s="92"/>
      <c r="AC1053" s="92"/>
      <c r="AD1053" s="92"/>
      <c r="AE1053" s="92"/>
      <c r="AF1053" s="92"/>
      <c r="AG1053" s="92"/>
      <c r="AH1053" s="92"/>
      <c r="AI1053" s="92"/>
      <c r="AJ1053" s="92"/>
      <c r="AK1053" s="92"/>
      <c r="AL1053" s="92"/>
      <c r="AM1053" s="92"/>
      <c r="AN1053" s="92"/>
      <c r="AO1053" s="92"/>
      <c r="AP1053" s="92"/>
      <c r="AQ1053" s="92"/>
      <c r="AR1053" s="92"/>
      <c r="AS1053" s="92"/>
      <c r="AT1053" s="92"/>
      <c r="AU1053" s="92"/>
      <c r="AV1053" s="92"/>
      <c r="AW1053" s="92"/>
      <c r="AX1053" s="92"/>
      <c r="AY1053" s="92"/>
      <c r="AZ1053" s="92"/>
      <c r="BA1053" s="92"/>
      <c r="BB1053" s="92"/>
      <c r="BC1053" s="92"/>
      <c r="BD1053" s="92"/>
      <c r="BE1053" s="92"/>
      <c r="BF1053" s="92"/>
      <c r="BG1053" s="92"/>
      <c r="BH1053" s="464"/>
      <c r="BI1053" s="92"/>
      <c r="BJ1053" s="92"/>
      <c r="BK1053" s="92"/>
      <c r="BL1053" s="92"/>
      <c r="BM1053" s="92"/>
      <c r="BN1053" s="92"/>
      <c r="BO1053" s="92"/>
      <c r="BP1053" s="92"/>
      <c r="BQ1053" s="92"/>
      <c r="BR1053" s="92"/>
      <c r="BS1053" s="305"/>
    </row>
    <row r="1054" spans="1:71" s="300" customFormat="1" ht="15">
      <c r="A1054" s="640" t="s">
        <v>942</v>
      </c>
      <c r="B1054" s="92"/>
      <c r="C1054" s="535"/>
      <c r="D1054" s="535"/>
      <c r="E1054" s="92"/>
      <c r="F1054" s="92"/>
      <c r="G1054" s="92"/>
      <c r="H1054" s="92"/>
      <c r="I1054" s="92"/>
      <c r="J1054" s="92"/>
      <c r="K1054" s="92"/>
      <c r="L1054" s="92"/>
      <c r="M1054" s="92"/>
      <c r="N1054" s="92"/>
      <c r="O1054" s="92"/>
      <c r="P1054" s="92"/>
      <c r="Q1054" s="92"/>
      <c r="R1054" s="92"/>
      <c r="S1054" s="92"/>
      <c r="T1054" s="92"/>
      <c r="U1054" s="92"/>
      <c r="V1054" s="92"/>
      <c r="W1054" s="92"/>
      <c r="X1054" s="92"/>
      <c r="Y1054" s="92"/>
      <c r="Z1054" s="92"/>
      <c r="AA1054" s="92"/>
      <c r="AB1054" s="92"/>
      <c r="AC1054" s="92"/>
      <c r="AD1054" s="92"/>
      <c r="AE1054" s="92"/>
      <c r="AF1054" s="92"/>
      <c r="AG1054" s="92"/>
      <c r="AH1054" s="92"/>
      <c r="AI1054" s="92"/>
      <c r="AJ1054" s="92"/>
      <c r="AK1054" s="92"/>
      <c r="AL1054" s="92"/>
      <c r="AM1054" s="92"/>
      <c r="AN1054" s="92"/>
      <c r="AO1054" s="92"/>
      <c r="AP1054" s="92"/>
      <c r="AQ1054" s="92"/>
      <c r="AR1054" s="92"/>
      <c r="AS1054" s="92"/>
      <c r="AT1054" s="92"/>
      <c r="AU1054" s="92"/>
      <c r="AV1054" s="92"/>
      <c r="AW1054" s="92"/>
      <c r="AX1054" s="92"/>
      <c r="AY1054" s="92"/>
      <c r="AZ1054" s="92"/>
      <c r="BA1054" s="92"/>
      <c r="BB1054" s="92"/>
      <c r="BC1054" s="92"/>
      <c r="BD1054" s="92"/>
      <c r="BE1054" s="92"/>
      <c r="BF1054" s="92"/>
      <c r="BG1054" s="92"/>
      <c r="BH1054" s="464"/>
      <c r="BI1054" s="92"/>
      <c r="BJ1054" s="92"/>
      <c r="BK1054" s="92"/>
      <c r="BL1054" s="92"/>
      <c r="BM1054" s="92"/>
      <c r="BN1054" s="92"/>
      <c r="BO1054" s="92"/>
      <c r="BP1054" s="92"/>
      <c r="BQ1054" s="92"/>
      <c r="BR1054" s="92"/>
      <c r="BS1054" s="305"/>
    </row>
    <row r="1055" spans="1:71" s="300" customFormat="1" ht="15">
      <c r="A1055" s="640" t="s">
        <v>943</v>
      </c>
      <c r="B1055" s="92"/>
      <c r="C1055" s="535"/>
      <c r="D1055" s="535"/>
      <c r="E1055" s="92"/>
      <c r="F1055" s="92"/>
      <c r="G1055" s="92"/>
      <c r="H1055" s="92"/>
      <c r="I1055" s="92"/>
      <c r="J1055" s="92"/>
      <c r="K1055" s="92"/>
      <c r="L1055" s="92"/>
      <c r="M1055" s="92"/>
      <c r="N1055" s="92"/>
      <c r="O1055" s="92"/>
      <c r="P1055" s="92"/>
      <c r="Q1055" s="92"/>
      <c r="R1055" s="92"/>
      <c r="S1055" s="92"/>
      <c r="T1055" s="92"/>
      <c r="U1055" s="92"/>
      <c r="V1055" s="92"/>
      <c r="W1055" s="92"/>
      <c r="X1055" s="92"/>
      <c r="Y1055" s="92"/>
      <c r="Z1055" s="92"/>
      <c r="AA1055" s="92"/>
      <c r="AB1055" s="92"/>
      <c r="AC1055" s="92"/>
      <c r="AD1055" s="92"/>
      <c r="AE1055" s="92"/>
      <c r="AF1055" s="92"/>
      <c r="AG1055" s="92"/>
      <c r="AH1055" s="92"/>
      <c r="AI1055" s="92"/>
      <c r="AJ1055" s="92"/>
      <c r="AK1055" s="92"/>
      <c r="AL1055" s="92"/>
      <c r="AM1055" s="92"/>
      <c r="AN1055" s="92"/>
      <c r="AO1055" s="92"/>
      <c r="AP1055" s="92"/>
      <c r="AQ1055" s="92"/>
      <c r="AR1055" s="92"/>
      <c r="AS1055" s="92"/>
      <c r="AT1055" s="92"/>
      <c r="AU1055" s="92"/>
      <c r="AV1055" s="92"/>
      <c r="AW1055" s="92"/>
      <c r="AX1055" s="92"/>
      <c r="AY1055" s="92"/>
      <c r="AZ1055" s="92"/>
      <c r="BA1055" s="92"/>
      <c r="BB1055" s="92"/>
      <c r="BC1055" s="92"/>
      <c r="BD1055" s="92"/>
      <c r="BE1055" s="92"/>
      <c r="BF1055" s="92"/>
      <c r="BG1055" s="92"/>
      <c r="BH1055" s="464"/>
      <c r="BI1055" s="92"/>
      <c r="BJ1055" s="92"/>
      <c r="BK1055" s="92"/>
      <c r="BL1055" s="92"/>
      <c r="BM1055" s="92"/>
      <c r="BN1055" s="92"/>
      <c r="BO1055" s="92"/>
      <c r="BP1055" s="92"/>
      <c r="BQ1055" s="92"/>
      <c r="BR1055" s="92"/>
      <c r="BS1055" s="305"/>
    </row>
    <row r="1056" spans="1:71" s="300" customFormat="1" ht="15">
      <c r="A1056" s="640" t="s">
        <v>944</v>
      </c>
      <c r="B1056" s="92"/>
      <c r="C1056" s="535"/>
      <c r="D1056" s="535"/>
      <c r="E1056" s="92"/>
      <c r="F1056" s="92"/>
      <c r="G1056" s="92"/>
      <c r="H1056" s="92"/>
      <c r="I1056" s="92"/>
      <c r="J1056" s="92"/>
      <c r="K1056" s="92"/>
      <c r="L1056" s="92"/>
      <c r="M1056" s="92"/>
      <c r="N1056" s="92"/>
      <c r="O1056" s="92"/>
      <c r="P1056" s="92"/>
      <c r="Q1056" s="92"/>
      <c r="R1056" s="92"/>
      <c r="S1056" s="92"/>
      <c r="T1056" s="92"/>
      <c r="U1056" s="92"/>
      <c r="V1056" s="92"/>
      <c r="W1056" s="92"/>
      <c r="X1056" s="92"/>
      <c r="Y1056" s="92"/>
      <c r="Z1056" s="92"/>
      <c r="AA1056" s="92"/>
      <c r="AB1056" s="92"/>
      <c r="AC1056" s="92"/>
      <c r="AD1056" s="92"/>
      <c r="AE1056" s="92"/>
      <c r="AF1056" s="92"/>
      <c r="AG1056" s="92"/>
      <c r="AH1056" s="92"/>
      <c r="AI1056" s="92"/>
      <c r="AJ1056" s="92"/>
      <c r="AK1056" s="92"/>
      <c r="AL1056" s="92"/>
      <c r="AM1056" s="92"/>
      <c r="AN1056" s="92"/>
      <c r="AO1056" s="92"/>
      <c r="AP1056" s="92"/>
      <c r="AQ1056" s="92"/>
      <c r="AR1056" s="92"/>
      <c r="AS1056" s="92"/>
      <c r="AT1056" s="92"/>
      <c r="AU1056" s="92"/>
      <c r="AV1056" s="92"/>
      <c r="AW1056" s="92"/>
      <c r="AX1056" s="92"/>
      <c r="AY1056" s="92"/>
      <c r="AZ1056" s="92"/>
      <c r="BA1056" s="92"/>
      <c r="BB1056" s="92"/>
      <c r="BC1056" s="92"/>
      <c r="BD1056" s="92"/>
      <c r="BE1056" s="92"/>
      <c r="BF1056" s="92"/>
      <c r="BG1056" s="92"/>
      <c r="BH1056" s="464"/>
      <c r="BI1056" s="92"/>
      <c r="BJ1056" s="92"/>
      <c r="BK1056" s="92"/>
      <c r="BL1056" s="92"/>
      <c r="BM1056" s="92"/>
      <c r="BN1056" s="92"/>
      <c r="BO1056" s="92"/>
      <c r="BP1056" s="92"/>
      <c r="BQ1056" s="92"/>
      <c r="BR1056" s="92"/>
      <c r="BS1056" s="305"/>
    </row>
    <row r="1057" spans="1:71" s="300" customFormat="1" ht="15">
      <c r="A1057" s="640" t="s">
        <v>945</v>
      </c>
      <c r="B1057" s="92"/>
      <c r="C1057" s="535"/>
      <c r="D1057" s="535"/>
      <c r="E1057" s="92"/>
      <c r="F1057" s="92"/>
      <c r="G1057" s="92"/>
      <c r="H1057" s="92"/>
      <c r="I1057" s="92"/>
      <c r="J1057" s="92"/>
      <c r="K1057" s="92"/>
      <c r="L1057" s="92"/>
      <c r="M1057" s="92"/>
      <c r="N1057" s="92"/>
      <c r="O1057" s="92"/>
      <c r="P1057" s="92"/>
      <c r="Q1057" s="92"/>
      <c r="R1057" s="92"/>
      <c r="S1057" s="92"/>
      <c r="T1057" s="92"/>
      <c r="U1057" s="92"/>
      <c r="V1057" s="92"/>
      <c r="W1057" s="92"/>
      <c r="X1057" s="92"/>
      <c r="Y1057" s="92"/>
      <c r="Z1057" s="92"/>
      <c r="AA1057" s="92"/>
      <c r="AB1057" s="92"/>
      <c r="AC1057" s="92"/>
      <c r="AD1057" s="92"/>
      <c r="AE1057" s="92"/>
      <c r="AF1057" s="92"/>
      <c r="AG1057" s="92"/>
      <c r="AH1057" s="92"/>
      <c r="AI1057" s="92"/>
      <c r="AJ1057" s="92"/>
      <c r="AK1057" s="92"/>
      <c r="AL1057" s="92"/>
      <c r="AM1057" s="92"/>
      <c r="AN1057" s="92"/>
      <c r="AO1057" s="92"/>
      <c r="AP1057" s="92"/>
      <c r="AQ1057" s="92"/>
      <c r="AR1057" s="92"/>
      <c r="AS1057" s="92"/>
      <c r="AT1057" s="92"/>
      <c r="AU1057" s="92"/>
      <c r="AV1057" s="92"/>
      <c r="AW1057" s="92"/>
      <c r="AX1057" s="92"/>
      <c r="AY1057" s="92"/>
      <c r="AZ1057" s="92"/>
      <c r="BA1057" s="92"/>
      <c r="BB1057" s="92"/>
      <c r="BC1057" s="92"/>
      <c r="BD1057" s="92"/>
      <c r="BE1057" s="92"/>
      <c r="BF1057" s="92"/>
      <c r="BG1057" s="92"/>
      <c r="BH1057" s="464"/>
      <c r="BI1057" s="92"/>
      <c r="BJ1057" s="92"/>
      <c r="BK1057" s="92"/>
      <c r="BL1057" s="92"/>
      <c r="BM1057" s="92"/>
      <c r="BN1057" s="92"/>
      <c r="BO1057" s="92"/>
      <c r="BP1057" s="92"/>
      <c r="BQ1057" s="92"/>
      <c r="BR1057" s="92"/>
      <c r="BS1057" s="305"/>
    </row>
    <row r="1058" spans="1:71" s="300" customFormat="1" ht="15">
      <c r="A1058" s="640" t="s">
        <v>946</v>
      </c>
      <c r="B1058" s="92"/>
      <c r="C1058" s="535"/>
      <c r="D1058" s="535"/>
      <c r="E1058" s="92"/>
      <c r="F1058" s="92"/>
      <c r="G1058" s="92"/>
      <c r="H1058" s="92"/>
      <c r="I1058" s="92"/>
      <c r="J1058" s="92"/>
      <c r="K1058" s="92"/>
      <c r="L1058" s="92"/>
      <c r="M1058" s="92"/>
      <c r="N1058" s="92"/>
      <c r="O1058" s="92"/>
      <c r="P1058" s="92"/>
      <c r="Q1058" s="92"/>
      <c r="R1058" s="92"/>
      <c r="S1058" s="92"/>
      <c r="T1058" s="92"/>
      <c r="U1058" s="92"/>
      <c r="V1058" s="92"/>
      <c r="W1058" s="92"/>
      <c r="X1058" s="92"/>
      <c r="Y1058" s="92"/>
      <c r="Z1058" s="92"/>
      <c r="AA1058" s="92"/>
      <c r="AB1058" s="92"/>
      <c r="AC1058" s="92"/>
      <c r="AD1058" s="92"/>
      <c r="AE1058" s="92"/>
      <c r="AF1058" s="92"/>
      <c r="AG1058" s="92"/>
      <c r="AH1058" s="92"/>
      <c r="AI1058" s="92"/>
      <c r="AJ1058" s="92"/>
      <c r="AK1058" s="92"/>
      <c r="AL1058" s="92"/>
      <c r="AM1058" s="92"/>
      <c r="AN1058" s="92"/>
      <c r="AO1058" s="92"/>
      <c r="AP1058" s="92"/>
      <c r="AQ1058" s="92"/>
      <c r="AR1058" s="92"/>
      <c r="AS1058" s="92"/>
      <c r="AT1058" s="92"/>
      <c r="AU1058" s="92"/>
      <c r="AV1058" s="92"/>
      <c r="AW1058" s="92"/>
      <c r="AX1058" s="92"/>
      <c r="AY1058" s="92"/>
      <c r="AZ1058" s="92"/>
      <c r="BA1058" s="92"/>
      <c r="BB1058" s="92"/>
      <c r="BC1058" s="92"/>
      <c r="BD1058" s="92"/>
      <c r="BE1058" s="92"/>
      <c r="BF1058" s="92"/>
      <c r="BG1058" s="92"/>
      <c r="BH1058" s="464"/>
      <c r="BI1058" s="92"/>
      <c r="BJ1058" s="92"/>
      <c r="BK1058" s="92"/>
      <c r="BL1058" s="92"/>
      <c r="BM1058" s="92"/>
      <c r="BN1058" s="92"/>
      <c r="BO1058" s="92"/>
      <c r="BP1058" s="92"/>
      <c r="BQ1058" s="92"/>
      <c r="BR1058" s="92"/>
      <c r="BS1058" s="305"/>
    </row>
    <row r="1059" spans="1:71" s="300" customFormat="1" ht="15">
      <c r="A1059" s="640" t="s">
        <v>947</v>
      </c>
      <c r="B1059" s="92"/>
      <c r="C1059" s="535"/>
      <c r="D1059" s="535"/>
      <c r="E1059" s="92"/>
      <c r="F1059" s="92"/>
      <c r="G1059" s="92"/>
      <c r="H1059" s="92"/>
      <c r="I1059" s="92"/>
      <c r="J1059" s="92"/>
      <c r="K1059" s="92"/>
      <c r="L1059" s="92"/>
      <c r="M1059" s="92"/>
      <c r="N1059" s="92"/>
      <c r="O1059" s="92"/>
      <c r="P1059" s="92"/>
      <c r="Q1059" s="92"/>
      <c r="R1059" s="92"/>
      <c r="S1059" s="92"/>
      <c r="T1059" s="92"/>
      <c r="U1059" s="92"/>
      <c r="V1059" s="92"/>
      <c r="W1059" s="92"/>
      <c r="X1059" s="92"/>
      <c r="Y1059" s="92"/>
      <c r="Z1059" s="92"/>
      <c r="AA1059" s="92"/>
      <c r="AB1059" s="92"/>
      <c r="AC1059" s="92"/>
      <c r="AD1059" s="92"/>
      <c r="AE1059" s="92"/>
      <c r="AF1059" s="92"/>
      <c r="AG1059" s="92"/>
      <c r="AH1059" s="92"/>
      <c r="AI1059" s="92"/>
      <c r="AJ1059" s="92"/>
      <c r="AK1059" s="92"/>
      <c r="AL1059" s="92"/>
      <c r="AM1059" s="92"/>
      <c r="AN1059" s="92"/>
      <c r="AO1059" s="92"/>
      <c r="AP1059" s="92"/>
      <c r="AQ1059" s="92"/>
      <c r="AR1059" s="92"/>
      <c r="AS1059" s="92"/>
      <c r="AT1059" s="92"/>
      <c r="AU1059" s="92"/>
      <c r="AV1059" s="92"/>
      <c r="AW1059" s="92"/>
      <c r="AX1059" s="92"/>
      <c r="AY1059" s="92"/>
      <c r="AZ1059" s="92"/>
      <c r="BA1059" s="92"/>
      <c r="BB1059" s="92"/>
      <c r="BC1059" s="92"/>
      <c r="BD1059" s="92"/>
      <c r="BE1059" s="92"/>
      <c r="BF1059" s="92"/>
      <c r="BG1059" s="92"/>
      <c r="BH1059" s="464"/>
      <c r="BI1059" s="92"/>
      <c r="BJ1059" s="92"/>
      <c r="BK1059" s="92"/>
      <c r="BL1059" s="92"/>
      <c r="BM1059" s="92"/>
      <c r="BN1059" s="92"/>
      <c r="BO1059" s="92"/>
      <c r="BP1059" s="92"/>
      <c r="BQ1059" s="92"/>
      <c r="BR1059" s="92"/>
      <c r="BS1059" s="305"/>
    </row>
    <row r="1060" spans="1:71" s="300" customFormat="1" ht="15">
      <c r="A1060" s="640" t="s">
        <v>948</v>
      </c>
      <c r="B1060" s="92"/>
      <c r="C1060" s="535"/>
      <c r="D1060" s="535"/>
      <c r="E1060" s="92"/>
      <c r="F1060" s="92"/>
      <c r="G1060" s="92"/>
      <c r="H1060" s="92"/>
      <c r="I1060" s="92"/>
      <c r="J1060" s="92"/>
      <c r="K1060" s="92"/>
      <c r="L1060" s="92"/>
      <c r="M1060" s="92"/>
      <c r="N1060" s="92"/>
      <c r="O1060" s="92"/>
      <c r="P1060" s="92"/>
      <c r="Q1060" s="92"/>
      <c r="R1060" s="92"/>
      <c r="S1060" s="92"/>
      <c r="T1060" s="92"/>
      <c r="U1060" s="92"/>
      <c r="V1060" s="92"/>
      <c r="W1060" s="92"/>
      <c r="X1060" s="92"/>
      <c r="Y1060" s="92"/>
      <c r="Z1060" s="92"/>
      <c r="AA1060" s="92"/>
      <c r="AB1060" s="92"/>
      <c r="AC1060" s="92"/>
      <c r="AD1060" s="92"/>
      <c r="AE1060" s="92"/>
      <c r="AF1060" s="92"/>
      <c r="AG1060" s="92"/>
      <c r="AH1060" s="92"/>
      <c r="AI1060" s="92"/>
      <c r="AJ1060" s="92"/>
      <c r="AK1060" s="92"/>
      <c r="AL1060" s="92"/>
      <c r="AM1060" s="92"/>
      <c r="AN1060" s="92"/>
      <c r="AO1060" s="92"/>
      <c r="AP1060" s="92"/>
      <c r="AQ1060" s="92"/>
      <c r="AR1060" s="92"/>
      <c r="AS1060" s="92"/>
      <c r="AT1060" s="92"/>
      <c r="AU1060" s="92"/>
      <c r="AV1060" s="92"/>
      <c r="AW1060" s="92"/>
      <c r="AX1060" s="92"/>
      <c r="AY1060" s="92"/>
      <c r="AZ1060" s="92"/>
      <c r="BA1060" s="92"/>
      <c r="BB1060" s="92"/>
      <c r="BC1060" s="92"/>
      <c r="BD1060" s="92"/>
      <c r="BE1060" s="92"/>
      <c r="BF1060" s="92"/>
      <c r="BG1060" s="92"/>
      <c r="BH1060" s="464"/>
      <c r="BI1060" s="92"/>
      <c r="BJ1060" s="92"/>
      <c r="BK1060" s="92"/>
      <c r="BL1060" s="92"/>
      <c r="BM1060" s="92"/>
      <c r="BN1060" s="92"/>
      <c r="BO1060" s="92"/>
      <c r="BP1060" s="92"/>
      <c r="BQ1060" s="92"/>
      <c r="BR1060" s="92"/>
      <c r="BS1060" s="305"/>
    </row>
    <row r="1061" spans="1:71" s="300" customFormat="1" ht="15">
      <c r="A1061" s="640" t="s">
        <v>949</v>
      </c>
      <c r="B1061" s="92"/>
      <c r="C1061" s="535"/>
      <c r="D1061" s="535"/>
      <c r="E1061" s="92"/>
      <c r="F1061" s="92"/>
      <c r="G1061" s="92"/>
      <c r="H1061" s="92"/>
      <c r="I1061" s="92"/>
      <c r="J1061" s="92"/>
      <c r="K1061" s="92"/>
      <c r="L1061" s="92"/>
      <c r="M1061" s="92"/>
      <c r="N1061" s="92"/>
      <c r="O1061" s="92"/>
      <c r="P1061" s="92"/>
      <c r="Q1061" s="92"/>
      <c r="R1061" s="92"/>
      <c r="S1061" s="92"/>
      <c r="T1061" s="92"/>
      <c r="U1061" s="92"/>
      <c r="V1061" s="92"/>
      <c r="W1061" s="92"/>
      <c r="X1061" s="92"/>
      <c r="Y1061" s="92"/>
      <c r="Z1061" s="92"/>
      <c r="AA1061" s="92"/>
      <c r="AB1061" s="92"/>
      <c r="AC1061" s="92"/>
      <c r="AD1061" s="92"/>
      <c r="AE1061" s="92"/>
      <c r="AF1061" s="92"/>
      <c r="AG1061" s="92"/>
      <c r="AH1061" s="92"/>
      <c r="AI1061" s="92"/>
      <c r="AJ1061" s="92"/>
      <c r="AK1061" s="92"/>
      <c r="AL1061" s="92"/>
      <c r="AM1061" s="92"/>
      <c r="AN1061" s="92"/>
      <c r="AO1061" s="92"/>
      <c r="AP1061" s="92"/>
      <c r="AQ1061" s="92"/>
      <c r="AR1061" s="92"/>
      <c r="AS1061" s="92"/>
      <c r="AT1061" s="92"/>
      <c r="AU1061" s="92"/>
      <c r="AV1061" s="92"/>
      <c r="AW1061" s="92"/>
      <c r="AX1061" s="92"/>
      <c r="AY1061" s="92"/>
      <c r="AZ1061" s="92"/>
      <c r="BA1061" s="92"/>
      <c r="BB1061" s="92"/>
      <c r="BC1061" s="92"/>
      <c r="BD1061" s="92"/>
      <c r="BE1061" s="92"/>
      <c r="BF1061" s="92"/>
      <c r="BG1061" s="92"/>
      <c r="BH1061" s="464"/>
      <c r="BI1061" s="92"/>
      <c r="BJ1061" s="92"/>
      <c r="BK1061" s="92"/>
      <c r="BL1061" s="92"/>
      <c r="BM1061" s="92"/>
      <c r="BN1061" s="92"/>
      <c r="BO1061" s="92"/>
      <c r="BP1061" s="92"/>
      <c r="BQ1061" s="92"/>
      <c r="BR1061" s="92"/>
      <c r="BS1061" s="305"/>
    </row>
    <row r="1062" spans="1:71" s="300" customFormat="1" ht="15">
      <c r="A1062" s="640" t="s">
        <v>950</v>
      </c>
      <c r="B1062" s="92"/>
      <c r="C1062" s="535"/>
      <c r="D1062" s="535"/>
      <c r="E1062" s="92"/>
      <c r="F1062" s="92"/>
      <c r="G1062" s="92"/>
      <c r="H1062" s="92"/>
      <c r="I1062" s="92"/>
      <c r="J1062" s="92"/>
      <c r="K1062" s="92"/>
      <c r="L1062" s="92"/>
      <c r="M1062" s="92"/>
      <c r="N1062" s="92"/>
      <c r="O1062" s="92"/>
      <c r="P1062" s="92"/>
      <c r="Q1062" s="92"/>
      <c r="R1062" s="92"/>
      <c r="S1062" s="92"/>
      <c r="T1062" s="92"/>
      <c r="U1062" s="92"/>
      <c r="V1062" s="92"/>
      <c r="W1062" s="92"/>
      <c r="X1062" s="92"/>
      <c r="Y1062" s="92"/>
      <c r="Z1062" s="92"/>
      <c r="AA1062" s="92"/>
      <c r="AB1062" s="92"/>
      <c r="AC1062" s="92"/>
      <c r="AD1062" s="92"/>
      <c r="AE1062" s="92"/>
      <c r="AF1062" s="92"/>
      <c r="AG1062" s="92"/>
      <c r="AH1062" s="92"/>
      <c r="AI1062" s="92"/>
      <c r="AJ1062" s="92"/>
      <c r="AK1062" s="92"/>
      <c r="AL1062" s="92"/>
      <c r="AM1062" s="92"/>
      <c r="AN1062" s="92"/>
      <c r="AO1062" s="92"/>
      <c r="AP1062" s="92"/>
      <c r="AQ1062" s="92"/>
      <c r="AR1062" s="92"/>
      <c r="AS1062" s="92"/>
      <c r="AT1062" s="92"/>
      <c r="AU1062" s="92"/>
      <c r="AV1062" s="92"/>
      <c r="AW1062" s="92"/>
      <c r="AX1062" s="92"/>
      <c r="AY1062" s="92"/>
      <c r="AZ1062" s="92"/>
      <c r="BA1062" s="92"/>
      <c r="BB1062" s="92"/>
      <c r="BC1062" s="92"/>
      <c r="BD1062" s="92"/>
      <c r="BE1062" s="92"/>
      <c r="BF1062" s="92"/>
      <c r="BG1062" s="92"/>
      <c r="BH1062" s="464"/>
      <c r="BI1062" s="92"/>
      <c r="BJ1062" s="92"/>
      <c r="BK1062" s="92"/>
      <c r="BL1062" s="92"/>
      <c r="BM1062" s="92"/>
      <c r="BN1062" s="92"/>
      <c r="BO1062" s="92"/>
      <c r="BP1062" s="92"/>
      <c r="BQ1062" s="92"/>
      <c r="BR1062" s="92"/>
      <c r="BS1062" s="305"/>
    </row>
    <row r="1063" spans="1:71" s="300" customFormat="1" ht="15">
      <c r="A1063" s="640" t="s">
        <v>951</v>
      </c>
      <c r="B1063" s="92"/>
      <c r="C1063" s="535"/>
      <c r="D1063" s="535"/>
      <c r="E1063" s="92"/>
      <c r="F1063" s="92"/>
      <c r="G1063" s="92"/>
      <c r="H1063" s="92"/>
      <c r="I1063" s="92"/>
      <c r="J1063" s="92"/>
      <c r="K1063" s="92"/>
      <c r="L1063" s="92"/>
      <c r="M1063" s="92"/>
      <c r="N1063" s="92"/>
      <c r="O1063" s="92"/>
      <c r="P1063" s="92"/>
      <c r="Q1063" s="92"/>
      <c r="R1063" s="92"/>
      <c r="S1063" s="92"/>
      <c r="T1063" s="92"/>
      <c r="U1063" s="92"/>
      <c r="V1063" s="92"/>
      <c r="W1063" s="92"/>
      <c r="X1063" s="92"/>
      <c r="Y1063" s="92"/>
      <c r="Z1063" s="92"/>
      <c r="AA1063" s="92"/>
      <c r="AB1063" s="92"/>
      <c r="AC1063" s="92"/>
      <c r="AD1063" s="92"/>
      <c r="AE1063" s="92"/>
      <c r="AF1063" s="92"/>
      <c r="AG1063" s="92"/>
      <c r="AH1063" s="92"/>
      <c r="AI1063" s="92"/>
      <c r="AJ1063" s="92"/>
      <c r="AK1063" s="92"/>
      <c r="AL1063" s="92"/>
      <c r="AM1063" s="92"/>
      <c r="AN1063" s="92"/>
      <c r="AO1063" s="92"/>
      <c r="AP1063" s="92"/>
      <c r="AQ1063" s="92"/>
      <c r="AR1063" s="92"/>
      <c r="AS1063" s="92"/>
      <c r="AT1063" s="92"/>
      <c r="AU1063" s="92"/>
      <c r="AV1063" s="92"/>
      <c r="AW1063" s="92"/>
      <c r="AX1063" s="92"/>
      <c r="AY1063" s="92"/>
      <c r="AZ1063" s="92"/>
      <c r="BA1063" s="92"/>
      <c r="BB1063" s="92"/>
      <c r="BC1063" s="92"/>
      <c r="BD1063" s="92"/>
      <c r="BE1063" s="92"/>
      <c r="BF1063" s="92"/>
      <c r="BG1063" s="92"/>
      <c r="BH1063" s="464"/>
      <c r="BI1063" s="92"/>
      <c r="BJ1063" s="92"/>
      <c r="BK1063" s="92"/>
      <c r="BL1063" s="92"/>
      <c r="BM1063" s="92"/>
      <c r="BN1063" s="92"/>
      <c r="BO1063" s="92"/>
      <c r="BP1063" s="92"/>
      <c r="BQ1063" s="92"/>
      <c r="BR1063" s="92"/>
      <c r="BS1063" s="305"/>
    </row>
    <row r="1064" spans="1:71" s="300" customFormat="1" ht="15">
      <c r="A1064" s="640" t="s">
        <v>952</v>
      </c>
      <c r="B1064" s="92"/>
      <c r="C1064" s="535"/>
      <c r="D1064" s="535"/>
      <c r="E1064" s="92"/>
      <c r="F1064" s="92"/>
      <c r="G1064" s="92"/>
      <c r="H1064" s="92"/>
      <c r="I1064" s="92"/>
      <c r="J1064" s="92"/>
      <c r="K1064" s="92"/>
      <c r="L1064" s="92"/>
      <c r="M1064" s="92"/>
      <c r="N1064" s="92"/>
      <c r="O1064" s="92"/>
      <c r="P1064" s="92"/>
      <c r="Q1064" s="92"/>
      <c r="R1064" s="92"/>
      <c r="S1064" s="92"/>
      <c r="T1064" s="92"/>
      <c r="U1064" s="92"/>
      <c r="V1064" s="92"/>
      <c r="W1064" s="92"/>
      <c r="X1064" s="92"/>
      <c r="Y1064" s="92"/>
      <c r="Z1064" s="92"/>
      <c r="AA1064" s="92"/>
      <c r="AB1064" s="92"/>
      <c r="AC1064" s="92"/>
      <c r="AD1064" s="92"/>
      <c r="AE1064" s="92"/>
      <c r="AF1064" s="92"/>
      <c r="AG1064" s="92"/>
      <c r="AH1064" s="92"/>
      <c r="AI1064" s="92"/>
      <c r="AJ1064" s="92"/>
      <c r="AK1064" s="92"/>
      <c r="AL1064" s="92"/>
      <c r="AM1064" s="92"/>
      <c r="AN1064" s="92"/>
      <c r="AO1064" s="92"/>
      <c r="AP1064" s="92"/>
      <c r="AQ1064" s="92"/>
      <c r="AR1064" s="92"/>
      <c r="AS1064" s="92"/>
      <c r="AT1064" s="92"/>
      <c r="AU1064" s="92"/>
      <c r="AV1064" s="92"/>
      <c r="AW1064" s="92"/>
      <c r="AX1064" s="92"/>
      <c r="AY1064" s="92"/>
      <c r="AZ1064" s="92"/>
      <c r="BA1064" s="92"/>
      <c r="BB1064" s="92"/>
      <c r="BC1064" s="92"/>
      <c r="BD1064" s="92"/>
      <c r="BE1064" s="92"/>
      <c r="BF1064" s="92"/>
      <c r="BG1064" s="92"/>
      <c r="BH1064" s="464"/>
      <c r="BI1064" s="92"/>
      <c r="BJ1064" s="92"/>
      <c r="BK1064" s="92"/>
      <c r="BL1064" s="92"/>
      <c r="BM1064" s="92"/>
      <c r="BN1064" s="92"/>
      <c r="BO1064" s="92"/>
      <c r="BP1064" s="92"/>
      <c r="BQ1064" s="92"/>
      <c r="BR1064" s="92"/>
      <c r="BS1064" s="305"/>
    </row>
    <row r="1065" spans="1:71" s="300" customFormat="1" ht="15">
      <c r="A1065" s="640" t="s">
        <v>953</v>
      </c>
      <c r="B1065" s="92"/>
      <c r="C1065" s="535"/>
      <c r="D1065" s="535"/>
      <c r="E1065" s="92"/>
      <c r="F1065" s="92"/>
      <c r="G1065" s="92"/>
      <c r="H1065" s="92"/>
      <c r="I1065" s="92"/>
      <c r="J1065" s="92"/>
      <c r="K1065" s="92"/>
      <c r="L1065" s="92"/>
      <c r="M1065" s="92"/>
      <c r="N1065" s="92"/>
      <c r="O1065" s="92"/>
      <c r="P1065" s="92"/>
      <c r="Q1065" s="92"/>
      <c r="R1065" s="92"/>
      <c r="S1065" s="92"/>
      <c r="T1065" s="92"/>
      <c r="U1065" s="92"/>
      <c r="V1065" s="92"/>
      <c r="W1065" s="92"/>
      <c r="X1065" s="92"/>
      <c r="Y1065" s="92"/>
      <c r="Z1065" s="92"/>
      <c r="AA1065" s="92"/>
      <c r="AB1065" s="92"/>
      <c r="AC1065" s="92"/>
      <c r="AD1065" s="92"/>
      <c r="AE1065" s="92"/>
      <c r="AF1065" s="92"/>
      <c r="AG1065" s="92"/>
      <c r="AH1065" s="92"/>
      <c r="AI1065" s="92"/>
      <c r="AJ1065" s="92"/>
      <c r="AK1065" s="92"/>
      <c r="AL1065" s="92"/>
      <c r="AM1065" s="92"/>
      <c r="AN1065" s="92"/>
      <c r="AO1065" s="92"/>
      <c r="AP1065" s="92"/>
      <c r="AQ1065" s="92"/>
      <c r="AR1065" s="92"/>
      <c r="AS1065" s="92"/>
      <c r="AT1065" s="92"/>
      <c r="AU1065" s="92"/>
      <c r="AV1065" s="92"/>
      <c r="AW1065" s="92"/>
      <c r="AX1065" s="92"/>
      <c r="AY1065" s="92"/>
      <c r="AZ1065" s="92"/>
      <c r="BA1065" s="92"/>
      <c r="BB1065" s="92"/>
      <c r="BC1065" s="92"/>
      <c r="BD1065" s="92"/>
      <c r="BE1065" s="92"/>
      <c r="BF1065" s="92"/>
      <c r="BG1065" s="92"/>
      <c r="BH1065" s="464"/>
      <c r="BI1065" s="92"/>
      <c r="BJ1065" s="92"/>
      <c r="BK1065" s="92"/>
      <c r="BL1065" s="92"/>
      <c r="BM1065" s="92"/>
      <c r="BN1065" s="92"/>
      <c r="BO1065" s="92"/>
      <c r="BP1065" s="92"/>
      <c r="BQ1065" s="92"/>
      <c r="BR1065" s="92"/>
      <c r="BS1065" s="305"/>
    </row>
    <row r="1066" spans="1:71" s="300" customFormat="1" ht="15">
      <c r="A1066" s="640" t="s">
        <v>954</v>
      </c>
      <c r="B1066" s="92"/>
      <c r="C1066" s="535"/>
      <c r="D1066" s="535"/>
      <c r="E1066" s="92"/>
      <c r="F1066" s="92"/>
      <c r="G1066" s="92"/>
      <c r="H1066" s="92"/>
      <c r="I1066" s="92"/>
      <c r="J1066" s="92"/>
      <c r="K1066" s="92"/>
      <c r="L1066" s="92"/>
      <c r="M1066" s="92"/>
      <c r="N1066" s="92"/>
      <c r="O1066" s="92"/>
      <c r="P1066" s="92"/>
      <c r="Q1066" s="92"/>
      <c r="R1066" s="92"/>
      <c r="S1066" s="92"/>
      <c r="T1066" s="92"/>
      <c r="U1066" s="92"/>
      <c r="V1066" s="92"/>
      <c r="W1066" s="92"/>
      <c r="X1066" s="92"/>
      <c r="Y1066" s="92"/>
      <c r="Z1066" s="92"/>
      <c r="AA1066" s="92"/>
      <c r="AB1066" s="92"/>
      <c r="AC1066" s="92"/>
      <c r="AD1066" s="92"/>
      <c r="AE1066" s="92"/>
      <c r="AF1066" s="92"/>
      <c r="AG1066" s="92"/>
      <c r="AH1066" s="92"/>
      <c r="AI1066" s="92"/>
      <c r="AJ1066" s="92"/>
      <c r="AK1066" s="92"/>
      <c r="AL1066" s="92"/>
      <c r="AM1066" s="92"/>
      <c r="AN1066" s="92"/>
      <c r="AO1066" s="92"/>
      <c r="AP1066" s="92"/>
      <c r="AQ1066" s="92"/>
      <c r="AR1066" s="92"/>
      <c r="AS1066" s="92"/>
      <c r="AT1066" s="92"/>
      <c r="AU1066" s="92"/>
      <c r="AV1066" s="92"/>
      <c r="AW1066" s="92"/>
      <c r="AX1066" s="92"/>
      <c r="AY1066" s="92"/>
      <c r="AZ1066" s="92"/>
      <c r="BA1066" s="92"/>
      <c r="BB1066" s="92"/>
      <c r="BC1066" s="92"/>
      <c r="BD1066" s="92"/>
      <c r="BE1066" s="92"/>
      <c r="BF1066" s="92"/>
      <c r="BG1066" s="92"/>
      <c r="BH1066" s="464"/>
      <c r="BI1066" s="92"/>
      <c r="BJ1066" s="92"/>
      <c r="BK1066" s="92"/>
      <c r="BL1066" s="92"/>
      <c r="BM1066" s="92"/>
      <c r="BN1066" s="92"/>
      <c r="BO1066" s="92"/>
      <c r="BP1066" s="92"/>
      <c r="BQ1066" s="92"/>
      <c r="BR1066" s="92"/>
      <c r="BS1066" s="305"/>
    </row>
    <row r="1067" spans="1:71" s="300" customFormat="1" ht="15">
      <c r="A1067" s="640" t="s">
        <v>955</v>
      </c>
      <c r="B1067" s="92"/>
      <c r="C1067" s="535"/>
      <c r="D1067" s="535"/>
      <c r="E1067" s="92"/>
      <c r="F1067" s="92"/>
      <c r="G1067" s="92"/>
      <c r="H1067" s="92"/>
      <c r="I1067" s="92"/>
      <c r="J1067" s="92"/>
      <c r="K1067" s="92"/>
      <c r="L1067" s="92"/>
      <c r="M1067" s="92"/>
      <c r="N1067" s="92"/>
      <c r="O1067" s="92"/>
      <c r="P1067" s="92"/>
      <c r="Q1067" s="92"/>
      <c r="R1067" s="92"/>
      <c r="S1067" s="92"/>
      <c r="T1067" s="92"/>
      <c r="U1067" s="92"/>
      <c r="V1067" s="92"/>
      <c r="W1067" s="92"/>
      <c r="X1067" s="92"/>
      <c r="Y1067" s="92"/>
      <c r="Z1067" s="92"/>
      <c r="AA1067" s="92"/>
      <c r="AB1067" s="92"/>
      <c r="AC1067" s="92"/>
      <c r="AD1067" s="92"/>
      <c r="AE1067" s="92"/>
      <c r="AF1067" s="92"/>
      <c r="AG1067" s="92"/>
      <c r="AH1067" s="92"/>
      <c r="AI1067" s="92"/>
      <c r="AJ1067" s="92"/>
      <c r="AK1067" s="92"/>
      <c r="AL1067" s="92"/>
      <c r="AM1067" s="92"/>
      <c r="AN1067" s="92"/>
      <c r="AO1067" s="92"/>
      <c r="AP1067" s="92"/>
      <c r="AQ1067" s="92"/>
      <c r="AR1067" s="92"/>
      <c r="AS1067" s="92"/>
      <c r="AT1067" s="92"/>
      <c r="AU1067" s="92"/>
      <c r="AV1067" s="92"/>
      <c r="AW1067" s="92"/>
      <c r="AX1067" s="92"/>
      <c r="AY1067" s="92"/>
      <c r="AZ1067" s="92"/>
      <c r="BA1067" s="92"/>
      <c r="BB1067" s="92"/>
      <c r="BC1067" s="92"/>
      <c r="BD1067" s="92"/>
      <c r="BE1067" s="92"/>
      <c r="BF1067" s="92"/>
      <c r="BG1067" s="92"/>
      <c r="BH1067" s="464"/>
      <c r="BI1067" s="92"/>
      <c r="BJ1067" s="92"/>
      <c r="BK1067" s="92"/>
      <c r="BL1067" s="92"/>
      <c r="BM1067" s="92"/>
      <c r="BN1067" s="92"/>
      <c r="BO1067" s="92"/>
      <c r="BP1067" s="92"/>
      <c r="BQ1067" s="92"/>
      <c r="BR1067" s="92"/>
      <c r="BS1067" s="305"/>
    </row>
    <row r="1068" spans="1:71" s="300" customFormat="1" ht="15">
      <c r="A1068" s="640" t="s">
        <v>956</v>
      </c>
      <c r="B1068" s="92"/>
      <c r="C1068" s="535"/>
      <c r="D1068" s="535"/>
      <c r="E1068" s="92"/>
      <c r="F1068" s="92"/>
      <c r="G1068" s="92"/>
      <c r="H1068" s="92"/>
      <c r="I1068" s="92"/>
      <c r="J1068" s="92"/>
      <c r="K1068" s="92"/>
      <c r="L1068" s="92"/>
      <c r="M1068" s="92"/>
      <c r="N1068" s="92"/>
      <c r="O1068" s="92"/>
      <c r="P1068" s="92"/>
      <c r="Q1068" s="92"/>
      <c r="R1068" s="92"/>
      <c r="S1068" s="92"/>
      <c r="T1068" s="92"/>
      <c r="U1068" s="92"/>
      <c r="V1068" s="92"/>
      <c r="W1068" s="92"/>
      <c r="X1068" s="92"/>
      <c r="Y1068" s="92"/>
      <c r="Z1068" s="92"/>
      <c r="AA1068" s="92"/>
      <c r="AB1068" s="92"/>
      <c r="AC1068" s="92"/>
      <c r="AD1068" s="92"/>
      <c r="AE1068" s="92"/>
      <c r="AF1068" s="92"/>
      <c r="AG1068" s="92"/>
      <c r="AH1068" s="92"/>
      <c r="AI1068" s="92"/>
      <c r="AJ1068" s="92"/>
      <c r="AK1068" s="92"/>
      <c r="AL1068" s="92"/>
      <c r="AM1068" s="92"/>
      <c r="AN1068" s="92"/>
      <c r="AO1068" s="92"/>
      <c r="AP1068" s="92"/>
      <c r="AQ1068" s="92"/>
      <c r="AR1068" s="92"/>
      <c r="AS1068" s="92"/>
      <c r="AT1068" s="92"/>
      <c r="AU1068" s="92"/>
      <c r="AV1068" s="92"/>
      <c r="AW1068" s="92"/>
      <c r="AX1068" s="92"/>
      <c r="AY1068" s="92"/>
      <c r="AZ1068" s="92"/>
      <c r="BA1068" s="92"/>
      <c r="BB1068" s="92"/>
      <c r="BC1068" s="92"/>
      <c r="BD1068" s="92"/>
      <c r="BE1068" s="92"/>
      <c r="BF1068" s="92"/>
      <c r="BG1068" s="92"/>
      <c r="BH1068" s="464"/>
      <c r="BI1068" s="92"/>
      <c r="BJ1068" s="92"/>
      <c r="BK1068" s="92"/>
      <c r="BL1068" s="92"/>
      <c r="BM1068" s="92"/>
      <c r="BN1068" s="92"/>
      <c r="BO1068" s="92"/>
      <c r="BP1068" s="92"/>
      <c r="BQ1068" s="92"/>
      <c r="BR1068" s="92"/>
      <c r="BS1068" s="305"/>
    </row>
    <row r="1069" spans="1:71" s="300" customFormat="1" ht="15">
      <c r="A1069" s="640" t="s">
        <v>957</v>
      </c>
      <c r="B1069" s="92"/>
      <c r="C1069" s="535"/>
      <c r="D1069" s="535"/>
      <c r="E1069" s="92"/>
      <c r="F1069" s="92"/>
      <c r="G1069" s="92"/>
      <c r="H1069" s="92"/>
      <c r="I1069" s="92"/>
      <c r="J1069" s="92"/>
      <c r="K1069" s="92"/>
      <c r="L1069" s="92"/>
      <c r="M1069" s="92"/>
      <c r="N1069" s="92"/>
      <c r="O1069" s="92"/>
      <c r="P1069" s="92"/>
      <c r="Q1069" s="92"/>
      <c r="R1069" s="92"/>
      <c r="S1069" s="92"/>
      <c r="T1069" s="92"/>
      <c r="U1069" s="92"/>
      <c r="V1069" s="92"/>
      <c r="W1069" s="92"/>
      <c r="X1069" s="92"/>
      <c r="Y1069" s="92"/>
      <c r="Z1069" s="92"/>
      <c r="AA1069" s="92"/>
      <c r="AB1069" s="92"/>
      <c r="AC1069" s="92"/>
      <c r="AD1069" s="92"/>
      <c r="AE1069" s="92"/>
      <c r="AF1069" s="92"/>
      <c r="AG1069" s="92"/>
      <c r="AH1069" s="92"/>
      <c r="AI1069" s="92"/>
      <c r="AJ1069" s="92"/>
      <c r="AK1069" s="92"/>
      <c r="AL1069" s="92"/>
      <c r="AM1069" s="92"/>
      <c r="AN1069" s="92"/>
      <c r="AO1069" s="92"/>
      <c r="AP1069" s="92"/>
      <c r="AQ1069" s="92"/>
      <c r="AR1069" s="92"/>
      <c r="AS1069" s="92"/>
      <c r="AT1069" s="92"/>
      <c r="AU1069" s="92"/>
      <c r="AV1069" s="92"/>
      <c r="AW1069" s="92"/>
      <c r="AX1069" s="92"/>
      <c r="AY1069" s="92"/>
      <c r="AZ1069" s="92"/>
      <c r="BA1069" s="92"/>
      <c r="BB1069" s="92"/>
      <c r="BC1069" s="92"/>
      <c r="BD1069" s="92"/>
      <c r="BE1069" s="92"/>
      <c r="BF1069" s="92"/>
      <c r="BG1069" s="92"/>
      <c r="BH1069" s="464"/>
      <c r="BI1069" s="92"/>
      <c r="BJ1069" s="92"/>
      <c r="BK1069" s="92"/>
      <c r="BL1069" s="92"/>
      <c r="BM1069" s="92"/>
      <c r="BN1069" s="92"/>
      <c r="BO1069" s="92"/>
      <c r="BP1069" s="92"/>
      <c r="BQ1069" s="92"/>
      <c r="BR1069" s="92"/>
      <c r="BS1069" s="305"/>
    </row>
    <row r="1070" spans="1:71" s="300" customFormat="1" ht="15">
      <c r="A1070" s="640" t="s">
        <v>958</v>
      </c>
      <c r="B1070" s="92"/>
      <c r="C1070" s="535"/>
      <c r="D1070" s="535"/>
      <c r="E1070" s="92"/>
      <c r="F1070" s="92"/>
      <c r="G1070" s="92"/>
      <c r="H1070" s="92"/>
      <c r="I1070" s="92"/>
      <c r="J1070" s="92"/>
      <c r="K1070" s="92"/>
      <c r="L1070" s="92"/>
      <c r="M1070" s="92"/>
      <c r="N1070" s="92"/>
      <c r="O1070" s="92"/>
      <c r="P1070" s="92"/>
      <c r="Q1070" s="92"/>
      <c r="R1070" s="92"/>
      <c r="S1070" s="92"/>
      <c r="T1070" s="92"/>
      <c r="U1070" s="92"/>
      <c r="V1070" s="92"/>
      <c r="W1070" s="92"/>
      <c r="X1070" s="92"/>
      <c r="Y1070" s="92"/>
      <c r="Z1070" s="92"/>
      <c r="AA1070" s="92"/>
      <c r="AB1070" s="92"/>
      <c r="AC1070" s="92"/>
      <c r="AD1070" s="92"/>
      <c r="AE1070" s="92"/>
      <c r="AF1070" s="92"/>
      <c r="AG1070" s="92"/>
      <c r="AH1070" s="92"/>
      <c r="AI1070" s="92"/>
      <c r="AJ1070" s="92"/>
      <c r="AK1070" s="92"/>
      <c r="AL1070" s="92"/>
      <c r="AM1070" s="92"/>
      <c r="AN1070" s="92"/>
      <c r="AO1070" s="92"/>
      <c r="AP1070" s="92"/>
      <c r="AQ1070" s="92"/>
      <c r="AR1070" s="92"/>
      <c r="AS1070" s="92"/>
      <c r="AT1070" s="92"/>
      <c r="AU1070" s="92"/>
      <c r="AV1070" s="92"/>
      <c r="AW1070" s="92"/>
      <c r="AX1070" s="92"/>
      <c r="AY1070" s="92"/>
      <c r="AZ1070" s="92"/>
      <c r="BA1070" s="92"/>
      <c r="BB1070" s="92"/>
      <c r="BC1070" s="92"/>
      <c r="BD1070" s="92"/>
      <c r="BE1070" s="92"/>
      <c r="BF1070" s="92"/>
      <c r="BG1070" s="92"/>
      <c r="BH1070" s="464"/>
      <c r="BI1070" s="92"/>
      <c r="BJ1070" s="92"/>
      <c r="BK1070" s="92"/>
      <c r="BL1070" s="92"/>
      <c r="BM1070" s="92"/>
      <c r="BN1070" s="92"/>
      <c r="BO1070" s="92"/>
      <c r="BP1070" s="92"/>
      <c r="BQ1070" s="92"/>
      <c r="BR1070" s="92"/>
      <c r="BS1070" s="305"/>
    </row>
    <row r="1071" spans="1:71" s="300" customFormat="1" ht="15">
      <c r="A1071" s="640" t="s">
        <v>959</v>
      </c>
      <c r="B1071" s="92"/>
      <c r="C1071" s="535"/>
      <c r="D1071" s="535"/>
      <c r="E1071" s="92"/>
      <c r="F1071" s="92"/>
      <c r="G1071" s="92"/>
      <c r="H1071" s="92"/>
      <c r="I1071" s="92"/>
      <c r="J1071" s="92"/>
      <c r="K1071" s="92"/>
      <c r="L1071" s="92"/>
      <c r="M1071" s="92"/>
      <c r="N1071" s="92"/>
      <c r="O1071" s="92"/>
      <c r="P1071" s="92"/>
      <c r="Q1071" s="92"/>
      <c r="R1071" s="92"/>
      <c r="S1071" s="92"/>
      <c r="T1071" s="92"/>
      <c r="U1071" s="92"/>
      <c r="V1071" s="92"/>
      <c r="W1071" s="92"/>
      <c r="X1071" s="92"/>
      <c r="Y1071" s="92"/>
      <c r="Z1071" s="92"/>
      <c r="AA1071" s="92"/>
      <c r="AB1071" s="92"/>
      <c r="AC1071" s="92"/>
      <c r="AD1071" s="92"/>
      <c r="AE1071" s="92"/>
      <c r="AF1071" s="92"/>
      <c r="AG1071" s="92"/>
      <c r="AH1071" s="92"/>
      <c r="AI1071" s="92"/>
      <c r="AJ1071" s="92"/>
      <c r="AK1071" s="92"/>
      <c r="AL1071" s="92"/>
      <c r="AM1071" s="92"/>
      <c r="AN1071" s="92"/>
      <c r="AO1071" s="92"/>
      <c r="AP1071" s="92"/>
      <c r="AQ1071" s="92"/>
      <c r="AR1071" s="92"/>
      <c r="AS1071" s="92"/>
      <c r="AT1071" s="92"/>
      <c r="AU1071" s="92"/>
      <c r="AV1071" s="92"/>
      <c r="AW1071" s="92"/>
      <c r="AX1071" s="92"/>
      <c r="AY1071" s="92"/>
      <c r="AZ1071" s="92"/>
      <c r="BA1071" s="92"/>
      <c r="BB1071" s="92"/>
      <c r="BC1071" s="92"/>
      <c r="BD1071" s="92"/>
      <c r="BE1071" s="92"/>
      <c r="BF1071" s="92"/>
      <c r="BG1071" s="92"/>
      <c r="BH1071" s="464"/>
      <c r="BI1071" s="92"/>
      <c r="BJ1071" s="92"/>
      <c r="BK1071" s="92"/>
      <c r="BL1071" s="92"/>
      <c r="BM1071" s="92"/>
      <c r="BN1071" s="92"/>
      <c r="BO1071" s="92"/>
      <c r="BP1071" s="92"/>
      <c r="BQ1071" s="92"/>
      <c r="BR1071" s="92"/>
      <c r="BS1071" s="305"/>
    </row>
    <row r="1072" spans="1:71" s="300" customFormat="1" ht="15">
      <c r="A1072" s="640" t="s">
        <v>960</v>
      </c>
      <c r="B1072" s="92"/>
      <c r="C1072" s="535"/>
      <c r="D1072" s="535"/>
      <c r="E1072" s="92"/>
      <c r="F1072" s="92"/>
      <c r="G1072" s="92"/>
      <c r="H1072" s="92"/>
      <c r="I1072" s="92"/>
      <c r="J1072" s="92"/>
      <c r="K1072" s="92"/>
      <c r="L1072" s="92"/>
      <c r="M1072" s="92"/>
      <c r="N1072" s="92"/>
      <c r="O1072" s="92"/>
      <c r="P1072" s="92"/>
      <c r="Q1072" s="92"/>
      <c r="R1072" s="92"/>
      <c r="S1072" s="92"/>
      <c r="T1072" s="92"/>
      <c r="U1072" s="92"/>
      <c r="V1072" s="92"/>
      <c r="W1072" s="92"/>
      <c r="X1072" s="92"/>
      <c r="Y1072" s="92"/>
      <c r="Z1072" s="92"/>
      <c r="AA1072" s="92"/>
      <c r="AB1072" s="92"/>
      <c r="AC1072" s="92"/>
      <c r="AD1072" s="92"/>
      <c r="AE1072" s="92"/>
      <c r="AF1072" s="92"/>
      <c r="AG1072" s="92"/>
      <c r="AH1072" s="92"/>
      <c r="AI1072" s="92"/>
      <c r="AJ1072" s="92"/>
      <c r="AK1072" s="92"/>
      <c r="AL1072" s="92"/>
      <c r="AM1072" s="92"/>
      <c r="AN1072" s="92"/>
      <c r="AO1072" s="92"/>
      <c r="AP1072" s="92"/>
      <c r="AQ1072" s="92"/>
      <c r="AR1072" s="92"/>
      <c r="AS1072" s="92"/>
      <c r="AT1072" s="92"/>
      <c r="AU1072" s="92"/>
      <c r="AV1072" s="92"/>
      <c r="AW1072" s="92"/>
      <c r="AX1072" s="92"/>
      <c r="AY1072" s="92"/>
      <c r="AZ1072" s="92"/>
      <c r="BA1072" s="92"/>
      <c r="BB1072" s="92"/>
      <c r="BC1072" s="92"/>
      <c r="BD1072" s="92"/>
      <c r="BE1072" s="92"/>
      <c r="BF1072" s="92"/>
      <c r="BG1072" s="92"/>
      <c r="BH1072" s="464"/>
      <c r="BI1072" s="92"/>
      <c r="BJ1072" s="92"/>
      <c r="BK1072" s="92"/>
      <c r="BL1072" s="92"/>
      <c r="BM1072" s="92"/>
      <c r="BN1072" s="92"/>
      <c r="BO1072" s="92"/>
      <c r="BP1072" s="92"/>
      <c r="BQ1072" s="92"/>
      <c r="BR1072" s="92"/>
      <c r="BS1072" s="305"/>
    </row>
    <row r="1073" spans="1:71" s="300" customFormat="1" ht="15">
      <c r="A1073" s="640" t="s">
        <v>961</v>
      </c>
      <c r="B1073" s="92"/>
      <c r="C1073" s="535"/>
      <c r="D1073" s="535"/>
      <c r="E1073" s="92"/>
      <c r="F1073" s="92"/>
      <c r="G1073" s="92"/>
      <c r="H1073" s="92"/>
      <c r="I1073" s="92"/>
      <c r="J1073" s="92"/>
      <c r="K1073" s="92"/>
      <c r="L1073" s="92"/>
      <c r="M1073" s="92"/>
      <c r="N1073" s="92"/>
      <c r="O1073" s="92"/>
      <c r="P1073" s="92"/>
      <c r="Q1073" s="92"/>
      <c r="R1073" s="92"/>
      <c r="S1073" s="92"/>
      <c r="T1073" s="92"/>
      <c r="U1073" s="92"/>
      <c r="V1073" s="92"/>
      <c r="W1073" s="92"/>
      <c r="X1073" s="92"/>
      <c r="Y1073" s="92"/>
      <c r="Z1073" s="92"/>
      <c r="AA1073" s="92"/>
      <c r="AB1073" s="92"/>
      <c r="AC1073" s="92"/>
      <c r="AD1073" s="92"/>
      <c r="AE1073" s="92"/>
      <c r="AF1073" s="92"/>
      <c r="AG1073" s="92"/>
      <c r="AH1073" s="92"/>
      <c r="AI1073" s="92"/>
      <c r="AJ1073" s="92"/>
      <c r="AK1073" s="92"/>
      <c r="AL1073" s="92"/>
      <c r="AM1073" s="92"/>
      <c r="AN1073" s="92"/>
      <c r="AO1073" s="92"/>
      <c r="AP1073" s="92"/>
      <c r="AQ1073" s="92"/>
      <c r="AR1073" s="92"/>
      <c r="AS1073" s="92"/>
      <c r="AT1073" s="92"/>
      <c r="AU1073" s="92"/>
      <c r="AV1073" s="92"/>
      <c r="AW1073" s="92"/>
      <c r="AX1073" s="92"/>
      <c r="AY1073" s="92"/>
      <c r="AZ1073" s="92"/>
      <c r="BA1073" s="92"/>
      <c r="BB1073" s="92"/>
      <c r="BC1073" s="92"/>
      <c r="BD1073" s="92"/>
      <c r="BE1073" s="92"/>
      <c r="BF1073" s="92"/>
      <c r="BG1073" s="92"/>
      <c r="BH1073" s="464"/>
      <c r="BI1073" s="92"/>
      <c r="BJ1073" s="92"/>
      <c r="BK1073" s="92"/>
      <c r="BL1073" s="92"/>
      <c r="BM1073" s="92"/>
      <c r="BN1073" s="92"/>
      <c r="BO1073" s="92"/>
      <c r="BP1073" s="92"/>
      <c r="BQ1073" s="92"/>
      <c r="BR1073" s="92"/>
      <c r="BS1073" s="305"/>
    </row>
    <row r="1074" spans="1:71" s="300" customFormat="1" ht="15">
      <c r="A1074" s="541"/>
      <c r="B1074" s="92"/>
      <c r="C1074" s="535"/>
      <c r="D1074" s="535"/>
      <c r="E1074" s="92"/>
      <c r="F1074" s="92"/>
      <c r="G1074" s="92"/>
      <c r="H1074" s="92"/>
      <c r="I1074" s="92"/>
      <c r="J1074" s="92"/>
      <c r="K1074" s="92"/>
      <c r="L1074" s="92"/>
      <c r="M1074" s="92"/>
      <c r="N1074" s="92"/>
      <c r="O1074" s="92"/>
      <c r="P1074" s="92"/>
      <c r="Q1074" s="92"/>
      <c r="R1074" s="92"/>
      <c r="S1074" s="92"/>
      <c r="T1074" s="92"/>
      <c r="U1074" s="92"/>
      <c r="V1074" s="92"/>
      <c r="W1074" s="92"/>
      <c r="X1074" s="92"/>
      <c r="Y1074" s="92"/>
      <c r="Z1074" s="92"/>
      <c r="AA1074" s="92"/>
      <c r="AB1074" s="92"/>
      <c r="AC1074" s="92"/>
      <c r="AD1074" s="92"/>
      <c r="AE1074" s="92"/>
      <c r="AF1074" s="92"/>
      <c r="AG1074" s="92"/>
      <c r="AH1074" s="92"/>
      <c r="AI1074" s="92"/>
      <c r="AJ1074" s="92"/>
      <c r="AK1074" s="92"/>
      <c r="AL1074" s="92"/>
      <c r="AM1074" s="92"/>
      <c r="AN1074" s="92"/>
      <c r="AO1074" s="92"/>
      <c r="AP1074" s="92"/>
      <c r="AQ1074" s="92"/>
      <c r="AR1074" s="92"/>
      <c r="AS1074" s="92"/>
      <c r="AT1074" s="92"/>
      <c r="AU1074" s="92"/>
      <c r="AV1074" s="92"/>
      <c r="AW1074" s="92"/>
      <c r="AX1074" s="92"/>
      <c r="AY1074" s="92"/>
      <c r="AZ1074" s="92"/>
      <c r="BA1074" s="92"/>
      <c r="BB1074" s="92"/>
      <c r="BC1074" s="92"/>
      <c r="BD1074" s="92"/>
      <c r="BE1074" s="92"/>
      <c r="BF1074" s="92"/>
      <c r="BG1074" s="92"/>
      <c r="BH1074" s="464"/>
      <c r="BI1074" s="92"/>
      <c r="BJ1074" s="92"/>
      <c r="BK1074" s="92"/>
      <c r="BL1074" s="92"/>
      <c r="BM1074" s="92"/>
      <c r="BN1074" s="92"/>
      <c r="BO1074" s="92"/>
      <c r="BP1074" s="92"/>
      <c r="BQ1074" s="92"/>
      <c r="BR1074" s="92"/>
      <c r="BS1074" s="305"/>
    </row>
    <row r="1075" spans="1:71" s="300" customFormat="1" ht="15">
      <c r="A1075" s="531"/>
      <c r="B1075" s="536"/>
      <c r="C1075" s="542"/>
      <c r="D1075" s="542"/>
      <c r="E1075" s="536"/>
      <c r="F1075" s="536"/>
      <c r="G1075" s="536"/>
      <c r="H1075" s="536"/>
      <c r="I1075" s="536"/>
      <c r="J1075" s="536"/>
      <c r="K1075" s="536"/>
      <c r="L1075" s="536"/>
      <c r="M1075" s="536"/>
      <c r="N1075" s="536"/>
      <c r="O1075" s="536"/>
      <c r="P1075" s="536"/>
      <c r="Q1075" s="536"/>
      <c r="R1075" s="536"/>
      <c r="S1075" s="536"/>
      <c r="T1075" s="536"/>
      <c r="U1075" s="536"/>
      <c r="V1075" s="536"/>
      <c r="W1075" s="536"/>
      <c r="X1075" s="536"/>
      <c r="Y1075" s="536"/>
      <c r="Z1075" s="536"/>
      <c r="AA1075" s="536"/>
      <c r="AB1075" s="536"/>
      <c r="AC1075" s="536"/>
      <c r="AD1075" s="536"/>
      <c r="AE1075" s="536"/>
      <c r="AF1075" s="536"/>
      <c r="AG1075" s="536"/>
      <c r="AH1075" s="536"/>
      <c r="AI1075" s="536"/>
      <c r="AJ1075" s="536"/>
      <c r="AK1075" s="536"/>
      <c r="AL1075" s="536"/>
      <c r="AM1075" s="536"/>
      <c r="AN1075" s="536"/>
      <c r="AO1075" s="536"/>
      <c r="AP1075" s="536"/>
      <c r="AQ1075" s="536"/>
      <c r="AR1075" s="536"/>
      <c r="AS1075" s="536"/>
      <c r="AT1075" s="536"/>
      <c r="AU1075" s="536"/>
      <c r="AV1075" s="536"/>
      <c r="AW1075" s="536"/>
      <c r="AX1075" s="536"/>
      <c r="AY1075" s="536"/>
      <c r="AZ1075" s="536"/>
      <c r="BA1075" s="536"/>
      <c r="BB1075" s="536"/>
      <c r="BC1075" s="536"/>
      <c r="BD1075" s="536"/>
      <c r="BE1075" s="536"/>
      <c r="BF1075" s="536"/>
      <c r="BG1075" s="536"/>
      <c r="BH1075" s="543"/>
      <c r="BI1075" s="536"/>
      <c r="BJ1075" s="536"/>
      <c r="BK1075" s="536"/>
      <c r="BL1075" s="536"/>
      <c r="BM1075" s="536"/>
      <c r="BN1075" s="536"/>
      <c r="BO1075" s="536"/>
      <c r="BP1075" s="536"/>
      <c r="BQ1075" s="536"/>
      <c r="BR1075" s="536"/>
      <c r="BS1075" s="305"/>
    </row>
    <row r="1076" spans="1:71" s="300" customFormat="1" ht="15">
      <c r="A1076" s="672" t="s">
        <v>927</v>
      </c>
      <c r="B1076" s="239"/>
      <c r="C1076" s="668"/>
      <c r="D1076" s="668"/>
      <c r="E1076" s="239"/>
      <c r="F1076" s="239"/>
      <c r="G1076" s="239"/>
      <c r="H1076" s="239"/>
      <c r="I1076" s="239"/>
      <c r="J1076" s="239"/>
      <c r="K1076" s="239"/>
      <c r="L1076" s="239"/>
      <c r="M1076" s="239"/>
      <c r="N1076" s="239"/>
      <c r="O1076" s="239"/>
      <c r="P1076" s="239"/>
      <c r="Q1076" s="239"/>
      <c r="R1076" s="239"/>
      <c r="S1076" s="239"/>
      <c r="T1076" s="239"/>
      <c r="U1076" s="239"/>
      <c r="V1076" s="239"/>
      <c r="W1076" s="239"/>
      <c r="X1076" s="239"/>
      <c r="Y1076" s="239"/>
      <c r="Z1076" s="239"/>
      <c r="AA1076" s="239"/>
      <c r="AB1076" s="239"/>
      <c r="AC1076" s="239"/>
      <c r="AD1076" s="239"/>
      <c r="AE1076" s="239"/>
      <c r="AF1076" s="239"/>
      <c r="AG1076" s="239"/>
      <c r="AH1076" s="239"/>
      <c r="AI1076" s="239"/>
      <c r="AJ1076" s="239"/>
      <c r="AK1076" s="239"/>
      <c r="AL1076" s="239"/>
      <c r="AM1076" s="239"/>
      <c r="AN1076" s="239"/>
      <c r="AO1076" s="239"/>
      <c r="AP1076" s="239"/>
      <c r="AQ1076" s="239"/>
      <c r="AR1076" s="239"/>
      <c r="AS1076" s="239"/>
      <c r="AT1076" s="239"/>
      <c r="AU1076" s="239"/>
      <c r="AV1076" s="239"/>
      <c r="AW1076" s="239"/>
      <c r="AX1076" s="239"/>
      <c r="AY1076" s="239"/>
      <c r="AZ1076" s="239"/>
      <c r="BA1076" s="239"/>
      <c r="BB1076" s="239"/>
      <c r="BC1076" s="239"/>
      <c r="BD1076" s="239"/>
      <c r="BE1076" s="239"/>
      <c r="BF1076" s="239"/>
      <c r="BG1076" s="239"/>
      <c r="BH1076" s="642"/>
      <c r="BI1076" s="239"/>
      <c r="BJ1076" s="239"/>
      <c r="BK1076" s="239"/>
      <c r="BL1076" s="239"/>
      <c r="BM1076" s="239"/>
      <c r="BN1076" s="239"/>
      <c r="BO1076" s="239"/>
      <c r="BP1076" s="239"/>
      <c r="BQ1076" s="239"/>
      <c r="BR1076" s="669"/>
      <c r="BS1076" s="305"/>
    </row>
    <row r="1077" spans="1:71" s="300" customFormat="1" ht="15">
      <c r="A1077" s="673" t="s">
        <v>928</v>
      </c>
      <c r="B1077" s="92"/>
      <c r="C1077" s="675"/>
      <c r="D1077" s="675"/>
      <c r="E1077" s="676"/>
      <c r="F1077" s="676"/>
      <c r="G1077" s="676"/>
      <c r="H1077" s="676"/>
      <c r="I1077" s="676"/>
      <c r="J1077" s="676"/>
      <c r="K1077" s="676"/>
      <c r="L1077" s="676"/>
      <c r="M1077" s="676"/>
      <c r="N1077" s="676"/>
      <c r="O1077" s="676"/>
      <c r="P1077" s="676"/>
      <c r="Q1077" s="676"/>
      <c r="R1077" s="676"/>
      <c r="S1077" s="676"/>
      <c r="T1077" s="676"/>
      <c r="U1077" s="676"/>
      <c r="V1077" s="676"/>
      <c r="W1077" s="676"/>
      <c r="X1077" s="676"/>
      <c r="Y1077" s="676"/>
      <c r="Z1077" s="676"/>
      <c r="AA1077" s="676"/>
      <c r="AB1077" s="676"/>
      <c r="AC1077" s="676"/>
      <c r="AD1077" s="676"/>
      <c r="AE1077" s="676"/>
      <c r="AF1077" s="676"/>
      <c r="AG1077" s="676"/>
      <c r="AH1077" s="676"/>
      <c r="AI1077" s="676"/>
      <c r="AJ1077" s="676"/>
      <c r="AK1077" s="676"/>
      <c r="AL1077" s="676"/>
      <c r="AM1077" s="676"/>
      <c r="AN1077" s="676"/>
      <c r="AO1077" s="676"/>
      <c r="AP1077" s="676"/>
      <c r="AQ1077" s="676"/>
      <c r="AR1077" s="676"/>
      <c r="AS1077" s="676"/>
      <c r="AT1077" s="676"/>
      <c r="AU1077" s="676"/>
      <c r="AV1077" s="676"/>
      <c r="AW1077" s="676"/>
      <c r="AX1077" s="676"/>
      <c r="AY1077" s="676"/>
      <c r="AZ1077" s="676"/>
      <c r="BA1077" s="676"/>
      <c r="BB1077" s="676"/>
      <c r="BC1077" s="676"/>
      <c r="BD1077" s="676"/>
      <c r="BE1077" s="676"/>
      <c r="BF1077" s="676"/>
      <c r="BG1077" s="676"/>
      <c r="BH1077" s="677"/>
      <c r="BI1077" s="676"/>
      <c r="BJ1077" s="676"/>
      <c r="BK1077" s="676"/>
      <c r="BL1077" s="676"/>
      <c r="BM1077" s="676"/>
      <c r="BN1077" s="676"/>
      <c r="BO1077" s="676"/>
      <c r="BP1077" s="676"/>
      <c r="BQ1077" s="676"/>
      <c r="BR1077" s="678"/>
      <c r="BS1077" s="305"/>
    </row>
    <row r="1078" spans="1:71" s="300" customFormat="1" ht="15">
      <c r="A1078" s="673" t="s">
        <v>929</v>
      </c>
      <c r="B1078" s="92"/>
      <c r="C1078" s="679"/>
      <c r="D1078" s="679"/>
      <c r="E1078" s="680"/>
      <c r="F1078" s="680"/>
      <c r="G1078" s="680"/>
      <c r="H1078" s="680"/>
      <c r="I1078" s="680"/>
      <c r="J1078" s="680"/>
      <c r="K1078" s="680"/>
      <c r="L1078" s="680"/>
      <c r="M1078" s="680"/>
      <c r="N1078" s="680"/>
      <c r="O1078" s="680"/>
      <c r="P1078" s="680"/>
      <c r="Q1078" s="680"/>
      <c r="R1078" s="680"/>
      <c r="S1078" s="680"/>
      <c r="T1078" s="680"/>
      <c r="U1078" s="680"/>
      <c r="V1078" s="680"/>
      <c r="W1078" s="680"/>
      <c r="X1078" s="680"/>
      <c r="Y1078" s="680"/>
      <c r="Z1078" s="680"/>
      <c r="AA1078" s="680"/>
      <c r="AB1078" s="680"/>
      <c r="AC1078" s="680"/>
      <c r="AD1078" s="680"/>
      <c r="AE1078" s="680"/>
      <c r="AF1078" s="680"/>
      <c r="AG1078" s="680"/>
      <c r="AH1078" s="680"/>
      <c r="AI1078" s="680"/>
      <c r="AJ1078" s="680"/>
      <c r="AK1078" s="680"/>
      <c r="AL1078" s="680"/>
      <c r="AM1078" s="680"/>
      <c r="AN1078" s="680"/>
      <c r="AO1078" s="680"/>
      <c r="AP1078" s="680"/>
      <c r="AQ1078" s="680"/>
      <c r="AR1078" s="680"/>
      <c r="AS1078" s="680"/>
      <c r="AT1078" s="680"/>
      <c r="AU1078" s="680"/>
      <c r="AV1078" s="680"/>
      <c r="AW1078" s="680"/>
      <c r="AX1078" s="680"/>
      <c r="AY1078" s="680"/>
      <c r="AZ1078" s="680"/>
      <c r="BA1078" s="680"/>
      <c r="BB1078" s="680"/>
      <c r="BC1078" s="680"/>
      <c r="BD1078" s="680"/>
      <c r="BE1078" s="680"/>
      <c r="BF1078" s="680"/>
      <c r="BG1078" s="680"/>
      <c r="BH1078" s="681"/>
      <c r="BI1078" s="680"/>
      <c r="BJ1078" s="680"/>
      <c r="BK1078" s="680"/>
      <c r="BL1078" s="680"/>
      <c r="BM1078" s="680"/>
      <c r="BN1078" s="680"/>
      <c r="BO1078" s="680"/>
      <c r="BP1078" s="680"/>
      <c r="BQ1078" s="680"/>
      <c r="BR1078" s="682"/>
      <c r="BS1078" s="305"/>
    </row>
    <row r="1079" spans="1:71" s="300" customFormat="1" ht="15">
      <c r="A1079" s="674"/>
      <c r="B1079" s="115"/>
      <c r="C1079" s="670"/>
      <c r="D1079" s="670"/>
      <c r="E1079" s="115"/>
      <c r="F1079" s="115"/>
      <c r="G1079" s="115"/>
      <c r="H1079" s="115"/>
      <c r="I1079" s="115"/>
      <c r="J1079" s="115"/>
      <c r="K1079" s="115"/>
      <c r="L1079" s="115"/>
      <c r="M1079" s="115"/>
      <c r="N1079" s="115"/>
      <c r="O1079" s="115"/>
      <c r="P1079" s="115"/>
      <c r="Q1079" s="115"/>
      <c r="R1079" s="115"/>
      <c r="S1079" s="115"/>
      <c r="T1079" s="115"/>
      <c r="U1079" s="115"/>
      <c r="V1079" s="115"/>
      <c r="W1079" s="115"/>
      <c r="X1079" s="115"/>
      <c r="Y1079" s="115"/>
      <c r="Z1079" s="115"/>
      <c r="AA1079" s="115"/>
      <c r="AB1079" s="115"/>
      <c r="AC1079" s="115"/>
      <c r="AD1079" s="115"/>
      <c r="AE1079" s="115"/>
      <c r="AF1079" s="115"/>
      <c r="AG1079" s="115"/>
      <c r="AH1079" s="115"/>
      <c r="AI1079" s="115"/>
      <c r="AJ1079" s="115"/>
      <c r="AK1079" s="115"/>
      <c r="AL1079" s="115"/>
      <c r="AM1079" s="115"/>
      <c r="AN1079" s="115"/>
      <c r="AO1079" s="115"/>
      <c r="AP1079" s="115"/>
      <c r="AQ1079" s="115"/>
      <c r="AR1079" s="115"/>
      <c r="AS1079" s="115"/>
      <c r="AT1079" s="115"/>
      <c r="AU1079" s="115"/>
      <c r="AV1079" s="115"/>
      <c r="AW1079" s="115"/>
      <c r="AX1079" s="115"/>
      <c r="AY1079" s="115"/>
      <c r="AZ1079" s="115"/>
      <c r="BA1079" s="115"/>
      <c r="BB1079" s="115"/>
      <c r="BC1079" s="115"/>
      <c r="BD1079" s="115"/>
      <c r="BE1079" s="115"/>
      <c r="BF1079" s="115"/>
      <c r="BG1079" s="115"/>
      <c r="BH1079" s="641"/>
      <c r="BI1079" s="115"/>
      <c r="BJ1079" s="115"/>
      <c r="BK1079" s="115"/>
      <c r="BL1079" s="115"/>
      <c r="BM1079" s="115"/>
      <c r="BN1079" s="115"/>
      <c r="BO1079" s="115"/>
      <c r="BP1079" s="115"/>
      <c r="BQ1079" s="115"/>
      <c r="BR1079" s="671"/>
      <c r="BS1079" s="305"/>
    </row>
    <row r="1080" spans="1:71" s="300" customFormat="1" ht="15">
      <c r="A1080" s="531"/>
      <c r="B1080" s="536"/>
      <c r="C1080" s="542"/>
      <c r="D1080" s="542"/>
      <c r="E1080" s="536"/>
      <c r="F1080" s="536"/>
      <c r="G1080" s="536"/>
      <c r="H1080" s="536"/>
      <c r="I1080" s="536"/>
      <c r="J1080" s="536"/>
      <c r="K1080" s="536"/>
      <c r="L1080" s="536"/>
      <c r="M1080" s="536"/>
      <c r="N1080" s="536"/>
      <c r="O1080" s="536"/>
      <c r="P1080" s="536"/>
      <c r="Q1080" s="536"/>
      <c r="R1080" s="536"/>
      <c r="S1080" s="536"/>
      <c r="T1080" s="536"/>
      <c r="U1080" s="536"/>
      <c r="V1080" s="536"/>
      <c r="W1080" s="536"/>
      <c r="X1080" s="536"/>
      <c r="Y1080" s="536"/>
      <c r="Z1080" s="536"/>
      <c r="AA1080" s="536"/>
      <c r="AB1080" s="536"/>
      <c r="AC1080" s="536"/>
      <c r="AD1080" s="536"/>
      <c r="AE1080" s="536"/>
      <c r="AF1080" s="536"/>
      <c r="AG1080" s="536"/>
      <c r="AH1080" s="536"/>
      <c r="AI1080" s="536"/>
      <c r="AJ1080" s="536"/>
      <c r="AK1080" s="536"/>
      <c r="AL1080" s="536"/>
      <c r="AM1080" s="536"/>
      <c r="AN1080" s="536"/>
      <c r="AO1080" s="536"/>
      <c r="AP1080" s="536"/>
      <c r="AQ1080" s="536"/>
      <c r="AR1080" s="536"/>
      <c r="AS1080" s="536"/>
      <c r="AT1080" s="536"/>
      <c r="AU1080" s="536"/>
      <c r="AV1080" s="536"/>
      <c r="AW1080" s="536"/>
      <c r="AX1080" s="536"/>
      <c r="AY1080" s="536"/>
      <c r="AZ1080" s="536"/>
      <c r="BA1080" s="536"/>
      <c r="BB1080" s="536"/>
      <c r="BC1080" s="536"/>
      <c r="BD1080" s="536"/>
      <c r="BE1080" s="536"/>
      <c r="BF1080" s="536"/>
      <c r="BG1080" s="536"/>
      <c r="BH1080" s="543"/>
      <c r="BI1080" s="536"/>
      <c r="BJ1080" s="536"/>
      <c r="BK1080" s="536"/>
      <c r="BL1080" s="536"/>
      <c r="BM1080" s="536"/>
      <c r="BN1080" s="536"/>
      <c r="BO1080" s="536"/>
      <c r="BP1080" s="536"/>
      <c r="BQ1080" s="536"/>
      <c r="BR1080" s="536"/>
      <c r="BS1080" s="305"/>
    </row>
    <row r="1081" spans="1:71" s="300" customFormat="1" ht="15">
      <c r="A1081" s="672" t="s">
        <v>930</v>
      </c>
      <c r="B1081" s="239"/>
      <c r="C1081" s="668"/>
      <c r="D1081" s="668"/>
      <c r="E1081" s="239"/>
      <c r="F1081" s="239"/>
      <c r="G1081" s="239"/>
      <c r="H1081" s="239"/>
      <c r="I1081" s="239"/>
      <c r="J1081" s="239"/>
      <c r="K1081" s="239"/>
      <c r="L1081" s="239"/>
      <c r="M1081" s="239"/>
      <c r="N1081" s="239"/>
      <c r="O1081" s="239"/>
      <c r="P1081" s="239"/>
      <c r="Q1081" s="239"/>
      <c r="R1081" s="239"/>
      <c r="S1081" s="239"/>
      <c r="T1081" s="239"/>
      <c r="U1081" s="239"/>
      <c r="V1081" s="239"/>
      <c r="W1081" s="239"/>
      <c r="X1081" s="239"/>
      <c r="Y1081" s="239"/>
      <c r="Z1081" s="239"/>
      <c r="AA1081" s="239"/>
      <c r="AB1081" s="239"/>
      <c r="AC1081" s="239"/>
      <c r="AD1081" s="239"/>
      <c r="AE1081" s="239"/>
      <c r="AF1081" s="239"/>
      <c r="AG1081" s="239"/>
      <c r="AH1081" s="239"/>
      <c r="AI1081" s="239"/>
      <c r="AJ1081" s="239"/>
      <c r="AK1081" s="239"/>
      <c r="AL1081" s="239"/>
      <c r="AM1081" s="239"/>
      <c r="AN1081" s="239"/>
      <c r="AO1081" s="239"/>
      <c r="AP1081" s="239"/>
      <c r="AQ1081" s="239"/>
      <c r="AR1081" s="239"/>
      <c r="AS1081" s="239"/>
      <c r="AT1081" s="239"/>
      <c r="AU1081" s="239"/>
      <c r="AV1081" s="239"/>
      <c r="AW1081" s="239"/>
      <c r="AX1081" s="239"/>
      <c r="AY1081" s="239"/>
      <c r="AZ1081" s="239"/>
      <c r="BA1081" s="239"/>
      <c r="BB1081" s="239"/>
      <c r="BC1081" s="239"/>
      <c r="BD1081" s="239"/>
      <c r="BE1081" s="239"/>
      <c r="BF1081" s="239"/>
      <c r="BG1081" s="239"/>
      <c r="BH1081" s="642"/>
      <c r="BI1081" s="239"/>
      <c r="BJ1081" s="239"/>
      <c r="BK1081" s="239"/>
      <c r="BL1081" s="239"/>
      <c r="BM1081" s="239"/>
      <c r="BN1081" s="239"/>
      <c r="BO1081" s="239"/>
      <c r="BP1081" s="239"/>
      <c r="BQ1081" s="239"/>
      <c r="BR1081" s="669"/>
      <c r="BS1081" s="305"/>
    </row>
    <row r="1082" spans="1:71" s="300" customFormat="1" ht="15">
      <c r="A1082" s="673" t="s">
        <v>928</v>
      </c>
      <c r="B1082" s="92"/>
      <c r="C1082" s="675"/>
      <c r="D1082" s="675"/>
      <c r="E1082" s="676"/>
      <c r="F1082" s="676"/>
      <c r="G1082" s="676"/>
      <c r="H1082" s="676"/>
      <c r="I1082" s="676"/>
      <c r="J1082" s="676"/>
      <c r="K1082" s="676"/>
      <c r="L1082" s="676"/>
      <c r="M1082" s="676"/>
      <c r="N1082" s="676"/>
      <c r="O1082" s="676"/>
      <c r="P1082" s="676"/>
      <c r="Q1082" s="676"/>
      <c r="R1082" s="676"/>
      <c r="S1082" s="676"/>
      <c r="T1082" s="676"/>
      <c r="U1082" s="676"/>
      <c r="V1082" s="676"/>
      <c r="W1082" s="676"/>
      <c r="X1082" s="676"/>
      <c r="Y1082" s="676"/>
      <c r="Z1082" s="676"/>
      <c r="AA1082" s="676"/>
      <c r="AB1082" s="676"/>
      <c r="AC1082" s="676"/>
      <c r="AD1082" s="676"/>
      <c r="AE1082" s="676"/>
      <c r="AF1082" s="676"/>
      <c r="AG1082" s="676"/>
      <c r="AH1082" s="676"/>
      <c r="AI1082" s="676"/>
      <c r="AJ1082" s="676"/>
      <c r="AK1082" s="676"/>
      <c r="AL1082" s="676"/>
      <c r="AM1082" s="676"/>
      <c r="AN1082" s="676"/>
      <c r="AO1082" s="676"/>
      <c r="AP1082" s="676"/>
      <c r="AQ1082" s="676"/>
      <c r="AR1082" s="676"/>
      <c r="AS1082" s="676"/>
      <c r="AT1082" s="676"/>
      <c r="AU1082" s="676"/>
      <c r="AV1082" s="676"/>
      <c r="AW1082" s="676"/>
      <c r="AX1082" s="676"/>
      <c r="AY1082" s="676"/>
      <c r="AZ1082" s="676"/>
      <c r="BA1082" s="676"/>
      <c r="BB1082" s="676"/>
      <c r="BC1082" s="676"/>
      <c r="BD1082" s="676"/>
      <c r="BE1082" s="676"/>
      <c r="BF1082" s="676"/>
      <c r="BG1082" s="676"/>
      <c r="BH1082" s="677"/>
      <c r="BI1082" s="676"/>
      <c r="BJ1082" s="676"/>
      <c r="BK1082" s="676"/>
      <c r="BL1082" s="676"/>
      <c r="BM1082" s="676"/>
      <c r="BN1082" s="676"/>
      <c r="BO1082" s="676"/>
      <c r="BP1082" s="676"/>
      <c r="BQ1082" s="676"/>
      <c r="BR1082" s="678"/>
      <c r="BS1082" s="305"/>
    </row>
    <row r="1083" spans="1:71" s="300" customFormat="1" ht="15">
      <c r="A1083" s="673" t="s">
        <v>931</v>
      </c>
      <c r="B1083" s="92"/>
      <c r="C1083" s="679"/>
      <c r="D1083" s="679"/>
      <c r="E1083" s="680"/>
      <c r="F1083" s="680"/>
      <c r="G1083" s="680"/>
      <c r="H1083" s="680"/>
      <c r="I1083" s="680"/>
      <c r="J1083" s="680"/>
      <c r="K1083" s="680"/>
      <c r="L1083" s="680"/>
      <c r="M1083" s="680"/>
      <c r="N1083" s="680"/>
      <c r="O1083" s="680"/>
      <c r="P1083" s="680"/>
      <c r="Q1083" s="680"/>
      <c r="R1083" s="680"/>
      <c r="S1083" s="680"/>
      <c r="T1083" s="680"/>
      <c r="U1083" s="680"/>
      <c r="V1083" s="680"/>
      <c r="W1083" s="680"/>
      <c r="X1083" s="680"/>
      <c r="Y1083" s="680"/>
      <c r="Z1083" s="680"/>
      <c r="AA1083" s="680"/>
      <c r="AB1083" s="680"/>
      <c r="AC1083" s="680"/>
      <c r="AD1083" s="680"/>
      <c r="AE1083" s="680"/>
      <c r="AF1083" s="680"/>
      <c r="AG1083" s="680"/>
      <c r="AH1083" s="680"/>
      <c r="AI1083" s="680"/>
      <c r="AJ1083" s="680"/>
      <c r="AK1083" s="680"/>
      <c r="AL1083" s="680"/>
      <c r="AM1083" s="680"/>
      <c r="AN1083" s="680"/>
      <c r="AO1083" s="680"/>
      <c r="AP1083" s="680"/>
      <c r="AQ1083" s="680"/>
      <c r="AR1083" s="680"/>
      <c r="AS1083" s="680"/>
      <c r="AT1083" s="680"/>
      <c r="AU1083" s="680"/>
      <c r="AV1083" s="680"/>
      <c r="AW1083" s="680"/>
      <c r="AX1083" s="680"/>
      <c r="AY1083" s="680"/>
      <c r="AZ1083" s="680"/>
      <c r="BA1083" s="680"/>
      <c r="BB1083" s="680"/>
      <c r="BC1083" s="680"/>
      <c r="BD1083" s="680"/>
      <c r="BE1083" s="680"/>
      <c r="BF1083" s="680"/>
      <c r="BG1083" s="680"/>
      <c r="BH1083" s="681"/>
      <c r="BI1083" s="680"/>
      <c r="BJ1083" s="680"/>
      <c r="BK1083" s="680"/>
      <c r="BL1083" s="680"/>
      <c r="BM1083" s="680"/>
      <c r="BN1083" s="680"/>
      <c r="BO1083" s="680"/>
      <c r="BP1083" s="680"/>
      <c r="BQ1083" s="680"/>
      <c r="BR1083" s="682"/>
      <c r="BS1083" s="305"/>
    </row>
    <row r="1084" spans="1:71" s="300" customFormat="1" ht="15">
      <c r="A1084" s="673" t="s">
        <v>929</v>
      </c>
      <c r="B1084" s="92"/>
      <c r="C1084" s="679"/>
      <c r="D1084" s="679"/>
      <c r="E1084" s="680"/>
      <c r="F1084" s="680"/>
      <c r="G1084" s="680"/>
      <c r="H1084" s="680"/>
      <c r="I1084" s="680"/>
      <c r="J1084" s="680"/>
      <c r="K1084" s="680"/>
      <c r="L1084" s="680"/>
      <c r="M1084" s="680"/>
      <c r="N1084" s="680"/>
      <c r="O1084" s="680"/>
      <c r="P1084" s="680"/>
      <c r="Q1084" s="680"/>
      <c r="R1084" s="680"/>
      <c r="S1084" s="680"/>
      <c r="T1084" s="680"/>
      <c r="U1084" s="680"/>
      <c r="V1084" s="680"/>
      <c r="W1084" s="680"/>
      <c r="X1084" s="680"/>
      <c r="Y1084" s="680"/>
      <c r="Z1084" s="680"/>
      <c r="AA1084" s="680"/>
      <c r="AB1084" s="680"/>
      <c r="AC1084" s="680"/>
      <c r="AD1084" s="680"/>
      <c r="AE1084" s="680"/>
      <c r="AF1084" s="680"/>
      <c r="AG1084" s="680"/>
      <c r="AH1084" s="680"/>
      <c r="AI1084" s="680"/>
      <c r="AJ1084" s="680"/>
      <c r="AK1084" s="680"/>
      <c r="AL1084" s="680"/>
      <c r="AM1084" s="680"/>
      <c r="AN1084" s="680"/>
      <c r="AO1084" s="680"/>
      <c r="AP1084" s="680"/>
      <c r="AQ1084" s="680"/>
      <c r="AR1084" s="680"/>
      <c r="AS1084" s="680"/>
      <c r="AT1084" s="680"/>
      <c r="AU1084" s="680"/>
      <c r="AV1084" s="680"/>
      <c r="AW1084" s="680"/>
      <c r="AX1084" s="680"/>
      <c r="AY1084" s="680"/>
      <c r="AZ1084" s="680"/>
      <c r="BA1084" s="680"/>
      <c r="BB1084" s="680"/>
      <c r="BC1084" s="680"/>
      <c r="BD1084" s="680"/>
      <c r="BE1084" s="680"/>
      <c r="BF1084" s="680"/>
      <c r="BG1084" s="680"/>
      <c r="BH1084" s="681"/>
      <c r="BI1084" s="680"/>
      <c r="BJ1084" s="680"/>
      <c r="BK1084" s="680"/>
      <c r="BL1084" s="680"/>
      <c r="BM1084" s="680"/>
      <c r="BN1084" s="680"/>
      <c r="BO1084" s="680"/>
      <c r="BP1084" s="680"/>
      <c r="BQ1084" s="680"/>
      <c r="BR1084" s="682"/>
      <c r="BS1084" s="305"/>
    </row>
    <row r="1085" spans="1:71" s="300" customFormat="1" ht="15">
      <c r="A1085" s="674"/>
      <c r="B1085" s="115"/>
      <c r="C1085" s="670"/>
      <c r="D1085" s="670"/>
      <c r="E1085" s="115"/>
      <c r="F1085" s="115"/>
      <c r="G1085" s="115"/>
      <c r="H1085" s="115"/>
      <c r="I1085" s="115"/>
      <c r="J1085" s="115"/>
      <c r="K1085" s="115"/>
      <c r="L1085" s="115"/>
      <c r="M1085" s="115"/>
      <c r="N1085" s="115"/>
      <c r="O1085" s="115"/>
      <c r="P1085" s="115"/>
      <c r="Q1085" s="115"/>
      <c r="R1085" s="115"/>
      <c r="S1085" s="115"/>
      <c r="T1085" s="115"/>
      <c r="U1085" s="115"/>
      <c r="V1085" s="115"/>
      <c r="W1085" s="115"/>
      <c r="X1085" s="115"/>
      <c r="Y1085" s="115"/>
      <c r="Z1085" s="115"/>
      <c r="AA1085" s="115"/>
      <c r="AB1085" s="115"/>
      <c r="AC1085" s="115"/>
      <c r="AD1085" s="115"/>
      <c r="AE1085" s="115"/>
      <c r="AF1085" s="115"/>
      <c r="AG1085" s="115"/>
      <c r="AH1085" s="115"/>
      <c r="AI1085" s="115"/>
      <c r="AJ1085" s="115"/>
      <c r="AK1085" s="115"/>
      <c r="AL1085" s="115"/>
      <c r="AM1085" s="115"/>
      <c r="AN1085" s="115"/>
      <c r="AO1085" s="115"/>
      <c r="AP1085" s="115"/>
      <c r="AQ1085" s="115"/>
      <c r="AR1085" s="115"/>
      <c r="AS1085" s="115"/>
      <c r="AT1085" s="115"/>
      <c r="AU1085" s="115"/>
      <c r="AV1085" s="115"/>
      <c r="AW1085" s="115"/>
      <c r="AX1085" s="115"/>
      <c r="AY1085" s="115"/>
      <c r="AZ1085" s="115"/>
      <c r="BA1085" s="115"/>
      <c r="BB1085" s="115"/>
      <c r="BC1085" s="115"/>
      <c r="BD1085" s="115"/>
      <c r="BE1085" s="115"/>
      <c r="BF1085" s="115"/>
      <c r="BG1085" s="115"/>
      <c r="BH1085" s="641"/>
      <c r="BI1085" s="115"/>
      <c r="BJ1085" s="115"/>
      <c r="BK1085" s="115"/>
      <c r="BL1085" s="115"/>
      <c r="BM1085" s="115"/>
      <c r="BN1085" s="115"/>
      <c r="BO1085" s="115"/>
      <c r="BP1085" s="115"/>
      <c r="BQ1085" s="115"/>
      <c r="BR1085" s="671"/>
      <c r="BS1085" s="305"/>
    </row>
    <row r="1086" spans="1:71" s="300" customFormat="1" ht="15">
      <c r="A1086" s="531"/>
      <c r="B1086" s="536"/>
      <c r="C1086" s="542"/>
      <c r="D1086" s="542"/>
      <c r="E1086" s="536"/>
      <c r="F1086" s="536"/>
      <c r="G1086" s="536"/>
      <c r="H1086" s="536"/>
      <c r="I1086" s="536"/>
      <c r="J1086" s="536"/>
      <c r="K1086" s="536"/>
      <c r="L1086" s="536"/>
      <c r="M1086" s="536"/>
      <c r="N1086" s="536"/>
      <c r="O1086" s="536"/>
      <c r="P1086" s="536"/>
      <c r="Q1086" s="536"/>
      <c r="R1086" s="536"/>
      <c r="S1086" s="536"/>
      <c r="T1086" s="536"/>
      <c r="U1086" s="536"/>
      <c r="V1086" s="536"/>
      <c r="W1086" s="536"/>
      <c r="X1086" s="536"/>
      <c r="Y1086" s="536"/>
      <c r="Z1086" s="536"/>
      <c r="AA1086" s="536"/>
      <c r="AB1086" s="536"/>
      <c r="AC1086" s="536"/>
      <c r="AD1086" s="536"/>
      <c r="AE1086" s="536"/>
      <c r="AF1086" s="536"/>
      <c r="AG1086" s="536"/>
      <c r="AH1086" s="536"/>
      <c r="AI1086" s="536"/>
      <c r="AJ1086" s="536"/>
      <c r="AK1086" s="536"/>
      <c r="AL1086" s="536"/>
      <c r="AM1086" s="536"/>
      <c r="AN1086" s="536"/>
      <c r="AO1086" s="536"/>
      <c r="AP1086" s="536"/>
      <c r="AQ1086" s="536"/>
      <c r="AR1086" s="536"/>
      <c r="AS1086" s="536"/>
      <c r="AT1086" s="536"/>
      <c r="AU1086" s="536"/>
      <c r="AV1086" s="536"/>
      <c r="AW1086" s="536"/>
      <c r="AX1086" s="536"/>
      <c r="AY1086" s="536"/>
      <c r="AZ1086" s="536"/>
      <c r="BA1086" s="536"/>
      <c r="BB1086" s="536"/>
      <c r="BC1086" s="536"/>
      <c r="BD1086" s="536"/>
      <c r="BE1086" s="536"/>
      <c r="BF1086" s="536"/>
      <c r="BG1086" s="536"/>
      <c r="BH1086" s="543"/>
      <c r="BI1086" s="536"/>
      <c r="BJ1086" s="536"/>
      <c r="BK1086" s="536"/>
      <c r="BL1086" s="536"/>
      <c r="BM1086" s="536"/>
      <c r="BN1086" s="536"/>
      <c r="BO1086" s="536"/>
      <c r="BP1086" s="536"/>
      <c r="BQ1086" s="536"/>
      <c r="BR1086" s="536"/>
      <c r="BS1086" s="305"/>
    </row>
    <row r="1087" spans="1:71" s="17" customFormat="1" ht="15">
      <c r="A1087" s="862" t="s">
        <v>237</v>
      </c>
      <c r="B1087" s="863"/>
      <c r="C1087" s="863"/>
      <c r="D1087" s="863"/>
      <c r="E1087" s="863"/>
      <c r="F1087" s="863"/>
      <c r="G1087" s="863"/>
      <c r="H1087" s="863"/>
      <c r="I1087" s="863"/>
      <c r="J1087" s="863"/>
      <c r="K1087" s="863"/>
      <c r="L1087" s="863"/>
      <c r="M1087" s="863"/>
      <c r="N1087" s="863"/>
      <c r="O1087" s="863"/>
      <c r="P1087" s="863"/>
      <c r="Q1087" s="863"/>
      <c r="R1087" s="863"/>
      <c r="S1087" s="863"/>
      <c r="T1087" s="863"/>
      <c r="U1087" s="863"/>
      <c r="V1087" s="863"/>
      <c r="W1087" s="863"/>
      <c r="X1087" s="863"/>
      <c r="Y1087" s="863"/>
      <c r="Z1087" s="863"/>
      <c r="AA1087" s="863"/>
      <c r="AB1087" s="863"/>
      <c r="AC1087" s="863"/>
      <c r="AD1087" s="863"/>
      <c r="AE1087" s="863"/>
      <c r="AF1087" s="863"/>
      <c r="AG1087" s="863"/>
      <c r="AH1087" s="863"/>
      <c r="AI1087" s="863"/>
      <c r="AJ1087" s="863"/>
      <c r="AK1087" s="863"/>
      <c r="AL1087" s="863"/>
      <c r="AM1087" s="863"/>
      <c r="AN1087" s="863"/>
      <c r="AO1087" s="863"/>
      <c r="AP1087" s="863"/>
      <c r="AQ1087" s="863"/>
      <c r="AR1087" s="863"/>
      <c r="AS1087" s="863"/>
      <c r="AT1087" s="863"/>
      <c r="AU1087" s="863"/>
      <c r="AV1087" s="863"/>
      <c r="AW1087" s="863"/>
      <c r="AX1087" s="863"/>
      <c r="AY1087" s="863"/>
      <c r="AZ1087" s="863"/>
      <c r="BA1087" s="863"/>
      <c r="BB1087" s="863"/>
      <c r="BC1087" s="863"/>
      <c r="BD1087" s="863"/>
      <c r="BE1087" s="863"/>
      <c r="BF1087" s="863"/>
      <c r="BG1087" s="863"/>
      <c r="BH1087" s="864"/>
      <c r="BI1087" s="863" t="str">
        <f t="shared" si="2708" ref="BI1087:BR1087">BI5</f>
        <v>Q4-2024</v>
      </c>
      <c r="BJ1087" s="863" t="str">
        <f t="shared" si="2708"/>
        <v>FY2024</v>
      </c>
      <c r="BK1087" s="863" t="str">
        <f t="shared" si="2708"/>
        <v>Q1-2025</v>
      </c>
      <c r="BL1087" s="863" t="str">
        <f t="shared" si="2708"/>
        <v>Q2-2025</v>
      </c>
      <c r="BM1087" s="863" t="str">
        <f t="shared" si="2708"/>
        <v>Q3-2025</v>
      </c>
      <c r="BN1087" s="863" t="str">
        <f t="shared" si="2708"/>
        <v>Q4-2025</v>
      </c>
      <c r="BO1087" s="863" t="str">
        <f t="shared" si="2708"/>
        <v>FY2025</v>
      </c>
      <c r="BP1087" s="863" t="str">
        <f t="shared" si="2708"/>
        <v>FY2026</v>
      </c>
      <c r="BQ1087" s="863" t="str">
        <f t="shared" si="2708"/>
        <v>FY2027</v>
      </c>
      <c r="BR1087" s="865" t="str">
        <f t="shared" si="2708"/>
        <v>FY2028</v>
      </c>
      <c r="BS1087" s="350"/>
    </row>
    <row r="1088" spans="1:71" s="17" customFormat="1" ht="15">
      <c r="A1088" s="866" t="s">
        <v>238</v>
      </c>
      <c r="B1088" s="843"/>
      <c r="C1088" s="843"/>
      <c r="D1088" s="843"/>
      <c r="E1088" s="843"/>
      <c r="F1088" s="843"/>
      <c r="G1088" s="843"/>
      <c r="H1088" s="843"/>
      <c r="I1088" s="843"/>
      <c r="J1088" s="843"/>
      <c r="K1088" s="843"/>
      <c r="L1088" s="843"/>
      <c r="M1088" s="843"/>
      <c r="N1088" s="843"/>
      <c r="O1088" s="843"/>
      <c r="P1088" s="843"/>
      <c r="Q1088" s="843"/>
      <c r="R1088" s="843"/>
      <c r="S1088" s="843"/>
      <c r="T1088" s="843"/>
      <c r="U1088" s="843"/>
      <c r="V1088" s="843"/>
      <c r="W1088" s="843"/>
      <c r="X1088" s="843"/>
      <c r="Y1088" s="843"/>
      <c r="Z1088" s="843"/>
      <c r="AA1088" s="843"/>
      <c r="AB1088" s="843"/>
      <c r="AC1088" s="843"/>
      <c r="AD1088" s="843"/>
      <c r="AE1088" s="843"/>
      <c r="AF1088" s="843"/>
      <c r="AG1088" s="843"/>
      <c r="AH1088" s="843"/>
      <c r="AI1088" s="843"/>
      <c r="AJ1088" s="843"/>
      <c r="AK1088" s="843"/>
      <c r="AL1088" s="843"/>
      <c r="AM1088" s="843"/>
      <c r="AN1088" s="843"/>
      <c r="AO1088" s="843"/>
      <c r="AP1088" s="843"/>
      <c r="AQ1088" s="843"/>
      <c r="AR1088" s="843"/>
      <c r="AS1088" s="843"/>
      <c r="AT1088" s="843"/>
      <c r="AU1088" s="843"/>
      <c r="AV1088" s="843"/>
      <c r="AW1088" s="843"/>
      <c r="AX1088" s="843"/>
      <c r="AY1088" s="843"/>
      <c r="AZ1088" s="843"/>
      <c r="BA1088" s="843"/>
      <c r="BB1088" s="843"/>
      <c r="BC1088" s="843"/>
      <c r="BD1088" s="843"/>
      <c r="BE1088" s="843"/>
      <c r="BF1088" s="843"/>
      <c r="BG1088" s="843"/>
      <c r="BH1088" s="844"/>
      <c r="BI1088" s="843" t="str">
        <f ca="1">IF(MO.DataSourceIndex=3,IF(LEFT(INDIRECT(ADDRESS(ROW()-1,COLUMN())),2)="FY","ANNUAL",IF(LEFT(INDIRECT(ADDRESS(ROW()-1,COLUMN())),1)="Q","QUARTERLY","")),IF(LEFT(INDIRECT(ADDRESS(ROW()-1,COLUMN())),2)="FY","FY",IF(LEFT(INDIRECT(ADDRESS(ROW()-1,COLUMN())),1)="Q","FQ","FH")))</f>
        <v>FQ</v>
      </c>
      <c r="BJ1088" s="843" t="str">
        <f ca="1" t="shared" si="2709" ref="BJ1088">IF(MO.DataSourceIndex=3,IF(LEFT(INDIRECT(ADDRESS(ROW()-1,COLUMN())),2)="FY","ANNUAL",IF(LEFT(INDIRECT(ADDRESS(ROW()-1,COLUMN())),1)="Q","QUARTERLY","")),IF(LEFT(INDIRECT(ADDRESS(ROW()-1,COLUMN())),2)="FY","FY",IF(LEFT(INDIRECT(ADDRESS(ROW()-1,COLUMN())),1)="Q","FQ","FH")))</f>
        <v>FY</v>
      </c>
      <c r="BK1088" s="843" t="str">
        <f ca="1" t="shared" si="2710" ref="BK1088:BR1088">IF(MO.DataSourceIndex=3,IF(LEFT(INDIRECT(ADDRESS(ROW()-1,COLUMN())),2)="FY","ANNUAL",IF(LEFT(INDIRECT(ADDRESS(ROW()-1,COLUMN())),1)="Q","QUARTERLY","")),IF(LEFT(INDIRECT(ADDRESS(ROW()-1,COLUMN())),2)="FY","FY",IF(LEFT(INDIRECT(ADDRESS(ROW()-1,COLUMN())),1)="Q","FQ","FH")))</f>
        <v>FQ</v>
      </c>
      <c r="BL1088" s="843" t="str">
        <f t="shared" ca="1" si="2710"/>
        <v>FQ</v>
      </c>
      <c r="BM1088" s="843" t="str">
        <f t="shared" ca="1" si="2710"/>
        <v>FQ</v>
      </c>
      <c r="BN1088" s="843" t="str">
        <f t="shared" ca="1" si="2710"/>
        <v>FQ</v>
      </c>
      <c r="BO1088" s="843" t="str">
        <f t="shared" ca="1" si="2710"/>
        <v>FY</v>
      </c>
      <c r="BP1088" s="843" t="str">
        <f t="shared" ca="1" si="2710"/>
        <v>FY</v>
      </c>
      <c r="BQ1088" s="843" t="str">
        <f t="shared" ca="1" si="2710"/>
        <v>FY</v>
      </c>
      <c r="BR1088" s="867" t="str">
        <f t="shared" ca="1" si="2710"/>
        <v>FY</v>
      </c>
      <c r="BS1088" s="350"/>
    </row>
    <row r="1089" spans="1:71" s="17" customFormat="1" ht="15">
      <c r="A1089" s="866" t="s">
        <v>239</v>
      </c>
      <c r="B1089" s="843"/>
      <c r="C1089" s="843"/>
      <c r="D1089" s="843"/>
      <c r="E1089" s="843"/>
      <c r="F1089" s="843"/>
      <c r="G1089" s="843"/>
      <c r="H1089" s="843"/>
      <c r="I1089" s="843"/>
      <c r="J1089" s="843"/>
      <c r="K1089" s="843"/>
      <c r="L1089" s="843"/>
      <c r="M1089" s="843"/>
      <c r="N1089" s="843"/>
      <c r="O1089" s="843"/>
      <c r="P1089" s="843"/>
      <c r="Q1089" s="843"/>
      <c r="R1089" s="843"/>
      <c r="S1089" s="843"/>
      <c r="T1089" s="843"/>
      <c r="U1089" s="843"/>
      <c r="V1089" s="843"/>
      <c r="W1089" s="843"/>
      <c r="X1089" s="843"/>
      <c r="Y1089" s="843"/>
      <c r="Z1089" s="843"/>
      <c r="AA1089" s="843"/>
      <c r="AB1089" s="843"/>
      <c r="AC1089" s="843"/>
      <c r="AD1089" s="843"/>
      <c r="AE1089" s="843"/>
      <c r="AF1089" s="843"/>
      <c r="AG1089" s="843"/>
      <c r="AH1089" s="843"/>
      <c r="AI1089" s="843"/>
      <c r="AJ1089" s="843"/>
      <c r="AK1089" s="843"/>
      <c r="AL1089" s="843"/>
      <c r="AM1089" s="843"/>
      <c r="AN1089" s="843"/>
      <c r="AO1089" s="843"/>
      <c r="AP1089" s="843"/>
      <c r="AQ1089" s="843"/>
      <c r="AR1089" s="843"/>
      <c r="AS1089" s="843"/>
      <c r="AT1089" s="843"/>
      <c r="AU1089" s="843"/>
      <c r="AV1089" s="843"/>
      <c r="AW1089" s="843"/>
      <c r="AX1089" s="843"/>
      <c r="AY1089" s="843"/>
      <c r="AZ1089" s="843"/>
      <c r="BA1089" s="843"/>
      <c r="BB1089" s="843"/>
      <c r="BC1089" s="843"/>
      <c r="BD1089" s="843"/>
      <c r="BE1089" s="843"/>
      <c r="BF1089" s="843"/>
      <c r="BG1089" s="843"/>
      <c r="BH1089" s="844"/>
      <c r="BI1089" s="843">
        <f ca="1">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J1089" s="843">
        <f ca="1" t="shared" si="2711" ref="BJ1089">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K1089" s="843">
        <f ca="1" t="shared" si="2712" ref="BK1089:BR1089">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2</v>
      </c>
      <c r="BL1089" s="843">
        <f t="shared" ca="1" si="2712"/>
        <v>3</v>
      </c>
      <c r="BM1089" s="843">
        <f t="shared" ca="1" si="2712"/>
        <v>4</v>
      </c>
      <c r="BN1089" s="843">
        <f t="shared" ca="1" si="2712"/>
        <v>5</v>
      </c>
      <c r="BO1089" s="843">
        <f t="shared" ca="1" si="2712"/>
        <v>2</v>
      </c>
      <c r="BP1089" s="843">
        <f t="shared" ca="1" si="2712"/>
        <v>3</v>
      </c>
      <c r="BQ1089" s="843">
        <f t="shared" ca="1" si="2712"/>
        <v>4</v>
      </c>
      <c r="BR1089" s="867">
        <f t="shared" ca="1" si="2712"/>
        <v>5</v>
      </c>
      <c r="BS1089" s="350"/>
    </row>
    <row r="1090" spans="1:71" s="22" customFormat="1" ht="15">
      <c r="A1090" s="365" t="str">
        <f>$A$66</f>
        <v>Consensus Estimates - Total Property &amp; Liability Net Earned Premiums, mm</v>
      </c>
      <c r="B1090" s="819"/>
      <c r="C1090" s="291"/>
      <c r="D1090" s="291"/>
      <c r="E1090" s="291"/>
      <c r="F1090" s="291"/>
      <c r="G1090" s="291"/>
      <c r="H1090" s="819"/>
      <c r="I1090" s="819"/>
      <c r="J1090" s="819"/>
      <c r="K1090" s="819"/>
      <c r="L1090" s="819"/>
      <c r="M1090" s="819"/>
      <c r="N1090" s="819"/>
      <c r="O1090" s="819"/>
      <c r="P1090" s="819"/>
      <c r="Q1090" s="819"/>
      <c r="R1090" s="819"/>
      <c r="S1090" s="819"/>
      <c r="T1090" s="819"/>
      <c r="U1090" s="819"/>
      <c r="V1090" s="819"/>
      <c r="W1090" s="819"/>
      <c r="X1090" s="819"/>
      <c r="Y1090" s="819"/>
      <c r="Z1090" s="819"/>
      <c r="AA1090" s="819"/>
      <c r="AB1090" s="819"/>
      <c r="AC1090" s="819"/>
      <c r="AD1090" s="819"/>
      <c r="AE1090" s="819"/>
      <c r="AF1090" s="819"/>
      <c r="AG1090" s="819"/>
      <c r="AH1090" s="819"/>
      <c r="AI1090" s="819"/>
      <c r="AJ1090" s="819"/>
      <c r="AK1090" s="819"/>
      <c r="AL1090" s="819"/>
      <c r="AM1090" s="819"/>
      <c r="AN1090" s="819"/>
      <c r="AO1090" s="819"/>
      <c r="AP1090" s="819"/>
      <c r="AQ1090" s="819"/>
      <c r="AR1090" s="819"/>
      <c r="AS1090" s="819"/>
      <c r="AT1090" s="819"/>
      <c r="AU1090" s="819"/>
      <c r="AV1090" s="819"/>
      <c r="AW1090" s="819"/>
      <c r="AX1090" s="819"/>
      <c r="AY1090" s="819"/>
      <c r="AZ1090" s="819"/>
      <c r="BA1090" s="819"/>
      <c r="BB1090" s="819"/>
      <c r="BC1090" s="819"/>
      <c r="BD1090" s="819"/>
      <c r="BE1090" s="819"/>
      <c r="BF1090" s="819"/>
      <c r="BG1090" s="819"/>
      <c r="BH1090" s="820"/>
      <c r="BI1090" s="84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J1090" s="84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K1090" s="84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L1090" s="84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M1090" s="84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N1090" s="84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O1090" s="84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P1090" s="84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Q1090" s="84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R1090" s="363"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S1090" s="351"/>
    </row>
    <row r="1091" spans="1:71" s="22" customFormat="1" ht="15">
      <c r="A1091" s="365" t="str">
        <f>$A$125</f>
        <v>Consensus Estimates - Total Property &amp; Liability Underwriting Income, mm</v>
      </c>
      <c r="B1091" s="819"/>
      <c r="C1091" s="291"/>
      <c r="D1091" s="291"/>
      <c r="E1091" s="291"/>
      <c r="F1091" s="291"/>
      <c r="G1091" s="291"/>
      <c r="H1091" s="819"/>
      <c r="I1091" s="819"/>
      <c r="J1091" s="819"/>
      <c r="K1091" s="819"/>
      <c r="L1091" s="819"/>
      <c r="M1091" s="819"/>
      <c r="N1091" s="819"/>
      <c r="O1091" s="819"/>
      <c r="P1091" s="819"/>
      <c r="Q1091" s="819"/>
      <c r="R1091" s="819"/>
      <c r="S1091" s="819"/>
      <c r="T1091" s="819"/>
      <c r="U1091" s="819"/>
      <c r="V1091" s="819"/>
      <c r="W1091" s="819"/>
      <c r="X1091" s="819"/>
      <c r="Y1091" s="819"/>
      <c r="Z1091" s="819"/>
      <c r="AA1091" s="819"/>
      <c r="AB1091" s="819"/>
      <c r="AC1091" s="819"/>
      <c r="AD1091" s="819"/>
      <c r="AE1091" s="819"/>
      <c r="AF1091" s="819"/>
      <c r="AG1091" s="819"/>
      <c r="AH1091" s="819"/>
      <c r="AI1091" s="819"/>
      <c r="AJ1091" s="819"/>
      <c r="AK1091" s="819"/>
      <c r="AL1091" s="819"/>
      <c r="AM1091" s="819"/>
      <c r="AN1091" s="819"/>
      <c r="AO1091" s="819"/>
      <c r="AP1091" s="819"/>
      <c r="AQ1091" s="819"/>
      <c r="AR1091" s="819"/>
      <c r="AS1091" s="819"/>
      <c r="AT1091" s="819"/>
      <c r="AU1091" s="819"/>
      <c r="AV1091" s="819"/>
      <c r="AW1091" s="819"/>
      <c r="AX1091" s="819"/>
      <c r="AY1091" s="819"/>
      <c r="AZ1091" s="819"/>
      <c r="BA1091" s="819"/>
      <c r="BB1091" s="819"/>
      <c r="BC1091" s="819"/>
      <c r="BD1091" s="819"/>
      <c r="BE1091" s="819"/>
      <c r="BF1091" s="819"/>
      <c r="BG1091" s="819"/>
      <c r="BH1091" s="820"/>
      <c r="BI1091" s="84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J1091" s="84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K1091" s="84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L1091" s="84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M1091" s="84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N1091" s="84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O1091" s="84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P1091" s="84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Q1091" s="84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R1091" s="363"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S1091" s="351"/>
    </row>
    <row r="1092" spans="1:71" s="22" customFormat="1" ht="15">
      <c r="A1092" s="365" t="str">
        <f>$A$179</f>
        <v>Consensus Estimates - Property &amp; Liability - Combined Ratio, %</v>
      </c>
      <c r="B1092" s="819"/>
      <c r="C1092" s="292"/>
      <c r="D1092" s="292"/>
      <c r="E1092" s="292"/>
      <c r="F1092" s="292"/>
      <c r="G1092" s="292"/>
      <c r="H1092" s="819"/>
      <c r="I1092" s="819"/>
      <c r="J1092" s="819"/>
      <c r="K1092" s="819"/>
      <c r="L1092" s="819"/>
      <c r="M1092" s="819"/>
      <c r="N1092" s="819"/>
      <c r="O1092" s="819"/>
      <c r="P1092" s="819"/>
      <c r="Q1092" s="819"/>
      <c r="R1092" s="819"/>
      <c r="S1092" s="819"/>
      <c r="T1092" s="819"/>
      <c r="U1092" s="819"/>
      <c r="V1092" s="819"/>
      <c r="W1092" s="819"/>
      <c r="X1092" s="819"/>
      <c r="Y1092" s="819"/>
      <c r="Z1092" s="819"/>
      <c r="AA1092" s="819"/>
      <c r="AB1092" s="819"/>
      <c r="AC1092" s="819"/>
      <c r="AD1092" s="819"/>
      <c r="AE1092" s="819"/>
      <c r="AF1092" s="819"/>
      <c r="AG1092" s="819"/>
      <c r="AH1092" s="819"/>
      <c r="AI1092" s="819"/>
      <c r="AJ1092" s="819"/>
      <c r="AK1092" s="819"/>
      <c r="AL1092" s="819"/>
      <c r="AM1092" s="819"/>
      <c r="AN1092" s="819"/>
      <c r="AO1092" s="819"/>
      <c r="AP1092" s="819"/>
      <c r="AQ1092" s="819"/>
      <c r="AR1092" s="819"/>
      <c r="AS1092" s="819"/>
      <c r="AT1092" s="819"/>
      <c r="AU1092" s="819"/>
      <c r="AV1092" s="819"/>
      <c r="AW1092" s="819"/>
      <c r="AX1092" s="819"/>
      <c r="AY1092" s="819"/>
      <c r="AZ1092" s="819"/>
      <c r="BA1092" s="819"/>
      <c r="BB1092" s="819"/>
      <c r="BC1092" s="819"/>
      <c r="BD1092" s="819"/>
      <c r="BE1092" s="819"/>
      <c r="BF1092" s="819"/>
      <c r="BG1092" s="819"/>
      <c r="BH1092" s="820"/>
      <c r="BI1092" s="84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J1092" s="84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K1092" s="84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L1092" s="84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M1092" s="84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N1092" s="84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O1092" s="84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P1092" s="84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Q1092" s="84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R1092" s="363"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S1092" s="351"/>
    </row>
    <row r="1093" spans="1:71" s="22" customFormat="1" ht="15">
      <c r="A1093" s="365" t="str">
        <f>$A$677</f>
        <v>Consensus Estimates - Net Revenue</v>
      </c>
      <c r="B1093" s="819"/>
      <c r="C1093" s="291"/>
      <c r="D1093" s="291"/>
      <c r="E1093" s="291"/>
      <c r="F1093" s="291"/>
      <c r="G1093" s="291"/>
      <c r="H1093" s="819"/>
      <c r="I1093" s="819"/>
      <c r="J1093" s="819"/>
      <c r="K1093" s="819"/>
      <c r="L1093" s="819"/>
      <c r="M1093" s="819"/>
      <c r="N1093" s="819"/>
      <c r="O1093" s="819"/>
      <c r="P1093" s="819"/>
      <c r="Q1093" s="819"/>
      <c r="R1093" s="819"/>
      <c r="S1093" s="819"/>
      <c r="T1093" s="819"/>
      <c r="U1093" s="819"/>
      <c r="V1093" s="819"/>
      <c r="W1093" s="819"/>
      <c r="X1093" s="819"/>
      <c r="Y1093" s="819"/>
      <c r="Z1093" s="819"/>
      <c r="AA1093" s="819"/>
      <c r="AB1093" s="819"/>
      <c r="AC1093" s="819"/>
      <c r="AD1093" s="819"/>
      <c r="AE1093" s="819"/>
      <c r="AF1093" s="819"/>
      <c r="AG1093" s="819"/>
      <c r="AH1093" s="819"/>
      <c r="AI1093" s="819"/>
      <c r="AJ1093" s="819"/>
      <c r="AK1093" s="819"/>
      <c r="AL1093" s="819"/>
      <c r="AM1093" s="819"/>
      <c r="AN1093" s="819"/>
      <c r="AO1093" s="819"/>
      <c r="AP1093" s="819"/>
      <c r="AQ1093" s="819"/>
      <c r="AR1093" s="819"/>
      <c r="AS1093" s="819"/>
      <c r="AT1093" s="819"/>
      <c r="AU1093" s="819"/>
      <c r="AV1093" s="819"/>
      <c r="AW1093" s="819"/>
      <c r="AX1093" s="819"/>
      <c r="AY1093" s="819"/>
      <c r="AZ1093" s="819"/>
      <c r="BA1093" s="819"/>
      <c r="BB1093" s="819"/>
      <c r="BC1093" s="819"/>
      <c r="BD1093" s="819"/>
      <c r="BE1093" s="819"/>
      <c r="BF1093" s="819"/>
      <c r="BG1093" s="819"/>
      <c r="BH1093" s="820"/>
      <c r="BI1093" s="84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J1093" s="84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K1093" s="84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L1093" s="84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M1093" s="84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N1093" s="84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O1093" s="84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P1093" s="84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Q1093" s="84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R1093" s="363"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S1093" s="351"/>
    </row>
    <row r="1094" spans="1:71" s="22" customFormat="1" ht="15">
      <c r="A1094" s="365" t="str">
        <f>$A$685</f>
        <v>Consensus Estimates - EBT</v>
      </c>
      <c r="B1094" s="819"/>
      <c r="C1094" s="291"/>
      <c r="D1094" s="291"/>
      <c r="E1094" s="291"/>
      <c r="F1094" s="291"/>
      <c r="G1094" s="291"/>
      <c r="H1094" s="819"/>
      <c r="I1094" s="819"/>
      <c r="J1094" s="819"/>
      <c r="K1094" s="819"/>
      <c r="L1094" s="819"/>
      <c r="M1094" s="819"/>
      <c r="N1094" s="819"/>
      <c r="O1094" s="819"/>
      <c r="P1094" s="819"/>
      <c r="Q1094" s="819"/>
      <c r="R1094" s="819"/>
      <c r="S1094" s="819"/>
      <c r="T1094" s="819"/>
      <c r="U1094" s="819"/>
      <c r="V1094" s="819"/>
      <c r="W1094" s="819"/>
      <c r="X1094" s="819"/>
      <c r="Y1094" s="819"/>
      <c r="Z1094" s="819"/>
      <c r="AA1094" s="819"/>
      <c r="AB1094" s="819"/>
      <c r="AC1094" s="819"/>
      <c r="AD1094" s="819"/>
      <c r="AE1094" s="819"/>
      <c r="AF1094" s="819"/>
      <c r="AG1094" s="819"/>
      <c r="AH1094" s="819"/>
      <c r="AI1094" s="819"/>
      <c r="AJ1094" s="819"/>
      <c r="AK1094" s="819"/>
      <c r="AL1094" s="819"/>
      <c r="AM1094" s="819"/>
      <c r="AN1094" s="819"/>
      <c r="AO1094" s="819"/>
      <c r="AP1094" s="819"/>
      <c r="AQ1094" s="819"/>
      <c r="AR1094" s="819"/>
      <c r="AS1094" s="819"/>
      <c r="AT1094" s="819"/>
      <c r="AU1094" s="819"/>
      <c r="AV1094" s="819"/>
      <c r="AW1094" s="819"/>
      <c r="AX1094" s="819"/>
      <c r="AY1094" s="819"/>
      <c r="AZ1094" s="819"/>
      <c r="BA1094" s="819"/>
      <c r="BB1094" s="819"/>
      <c r="BC1094" s="819"/>
      <c r="BD1094" s="819"/>
      <c r="BE1094" s="819"/>
      <c r="BF1094" s="819"/>
      <c r="BG1094" s="819"/>
      <c r="BH1094" s="820"/>
      <c r="BI1094" s="84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J1094" s="84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K1094" s="84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L1094" s="84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M1094" s="84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N1094" s="84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O1094" s="84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P1094" s="84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Q1094" s="84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R1094" s="363"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S1094" s="351"/>
    </row>
    <row r="1095" spans="1:71" s="22" customFormat="1" ht="15">
      <c r="A1095" s="365" t="str">
        <f>$A$707</f>
        <v>Consensus Estimates - Adjusted Earnings Per Share - WAD</v>
      </c>
      <c r="B1095" s="819"/>
      <c r="C1095" s="293"/>
      <c r="D1095" s="293"/>
      <c r="E1095" s="293"/>
      <c r="F1095" s="293"/>
      <c r="G1095" s="293"/>
      <c r="H1095" s="819"/>
      <c r="I1095" s="819"/>
      <c r="J1095" s="819"/>
      <c r="K1095" s="819"/>
      <c r="L1095" s="819"/>
      <c r="M1095" s="819"/>
      <c r="N1095" s="819"/>
      <c r="O1095" s="819"/>
      <c r="P1095" s="819"/>
      <c r="Q1095" s="819"/>
      <c r="R1095" s="819"/>
      <c r="S1095" s="819"/>
      <c r="T1095" s="819"/>
      <c r="U1095" s="819"/>
      <c r="V1095" s="819"/>
      <c r="W1095" s="819"/>
      <c r="X1095" s="819"/>
      <c r="Y1095" s="819"/>
      <c r="Z1095" s="819"/>
      <c r="AA1095" s="819"/>
      <c r="AB1095" s="819"/>
      <c r="AC1095" s="819"/>
      <c r="AD1095" s="819"/>
      <c r="AE1095" s="819"/>
      <c r="AF1095" s="819"/>
      <c r="AG1095" s="819"/>
      <c r="AH1095" s="819"/>
      <c r="AI1095" s="819"/>
      <c r="AJ1095" s="819"/>
      <c r="AK1095" s="819"/>
      <c r="AL1095" s="819"/>
      <c r="AM1095" s="819"/>
      <c r="AN1095" s="819"/>
      <c r="AO1095" s="819"/>
      <c r="AP1095" s="819"/>
      <c r="AQ1095" s="819"/>
      <c r="AR1095" s="819"/>
      <c r="AS1095" s="819"/>
      <c r="AT1095" s="819"/>
      <c r="AU1095" s="819"/>
      <c r="AV1095" s="819"/>
      <c r="AW1095" s="819"/>
      <c r="AX1095" s="819"/>
      <c r="AY1095" s="819"/>
      <c r="AZ1095" s="819"/>
      <c r="BA1095" s="819"/>
      <c r="BB1095" s="819"/>
      <c r="BC1095" s="819"/>
      <c r="BD1095" s="819"/>
      <c r="BE1095" s="819"/>
      <c r="BF1095" s="819"/>
      <c r="BG1095" s="819"/>
      <c r="BH1095" s="820"/>
      <c r="BI1095" s="84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J1095" s="84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K1095" s="84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L1095" s="84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M1095" s="84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N1095" s="84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O1095" s="84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P1095" s="84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Q1095" s="84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R1095" s="363"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S1095" s="351"/>
    </row>
    <row r="1096" spans="1:71" s="22" customFormat="1" ht="15">
      <c r="A1096" s="365" t="str">
        <f>$A$752</f>
        <v>Consensus Estimates - Book Value per Common Share</v>
      </c>
      <c r="B1096" s="819"/>
      <c r="C1096" s="294"/>
      <c r="D1096" s="294"/>
      <c r="E1096" s="294"/>
      <c r="F1096" s="294"/>
      <c r="G1096" s="294"/>
      <c r="H1096" s="819"/>
      <c r="I1096" s="819"/>
      <c r="J1096" s="819"/>
      <c r="K1096" s="819"/>
      <c r="L1096" s="819"/>
      <c r="M1096" s="819"/>
      <c r="N1096" s="819"/>
      <c r="O1096" s="819"/>
      <c r="P1096" s="819"/>
      <c r="Q1096" s="819"/>
      <c r="R1096" s="819"/>
      <c r="S1096" s="819"/>
      <c r="T1096" s="819"/>
      <c r="U1096" s="819"/>
      <c r="V1096" s="819"/>
      <c r="W1096" s="819"/>
      <c r="X1096" s="819"/>
      <c r="Y1096" s="819"/>
      <c r="Z1096" s="819"/>
      <c r="AA1096" s="819"/>
      <c r="AB1096" s="819"/>
      <c r="AC1096" s="819"/>
      <c r="AD1096" s="819"/>
      <c r="AE1096" s="819"/>
      <c r="AF1096" s="819"/>
      <c r="AG1096" s="819"/>
      <c r="AH1096" s="819"/>
      <c r="AI1096" s="819"/>
      <c r="AJ1096" s="819"/>
      <c r="AK1096" s="819"/>
      <c r="AL1096" s="819"/>
      <c r="AM1096" s="819"/>
      <c r="AN1096" s="819"/>
      <c r="AO1096" s="819"/>
      <c r="AP1096" s="819"/>
      <c r="AQ1096" s="819"/>
      <c r="AR1096" s="819"/>
      <c r="AS1096" s="819"/>
      <c r="AT1096" s="819"/>
      <c r="AU1096" s="819"/>
      <c r="AV1096" s="819"/>
      <c r="AW1096" s="819"/>
      <c r="AX1096" s="819"/>
      <c r="AY1096" s="819"/>
      <c r="AZ1096" s="819"/>
      <c r="BA1096" s="819"/>
      <c r="BB1096" s="819"/>
      <c r="BC1096" s="819"/>
      <c r="BD1096" s="819"/>
      <c r="BE1096" s="819"/>
      <c r="BF1096" s="819"/>
      <c r="BG1096" s="819"/>
      <c r="BH1096" s="820"/>
      <c r="BI1096" s="84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J1096" s="84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K1096" s="84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L1096" s="84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M1096" s="84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N1096" s="84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O1096" s="84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P1096" s="84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Q1096" s="84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R1096" s="363"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S1096" s="351"/>
    </row>
    <row r="1097" spans="1:71" s="22" customFormat="1" ht="15">
      <c r="A1097" s="365" t="str">
        <f>$A$757</f>
        <v>Consensus Estimates - Return on Average Common Equity, %</v>
      </c>
      <c r="B1097" s="819"/>
      <c r="C1097" s="292"/>
      <c r="D1097" s="292"/>
      <c r="E1097" s="292"/>
      <c r="F1097" s="292"/>
      <c r="G1097" s="292"/>
      <c r="H1097" s="819"/>
      <c r="I1097" s="819"/>
      <c r="J1097" s="819"/>
      <c r="K1097" s="819"/>
      <c r="L1097" s="819"/>
      <c r="M1097" s="819"/>
      <c r="N1097" s="819"/>
      <c r="O1097" s="819"/>
      <c r="P1097" s="819"/>
      <c r="Q1097" s="819"/>
      <c r="R1097" s="819"/>
      <c r="S1097" s="819"/>
      <c r="T1097" s="819"/>
      <c r="U1097" s="819"/>
      <c r="V1097" s="819"/>
      <c r="W1097" s="819"/>
      <c r="X1097" s="819"/>
      <c r="Y1097" s="819"/>
      <c r="Z1097" s="819"/>
      <c r="AA1097" s="819"/>
      <c r="AB1097" s="819"/>
      <c r="AC1097" s="819"/>
      <c r="AD1097" s="819"/>
      <c r="AE1097" s="819"/>
      <c r="AF1097" s="819"/>
      <c r="AG1097" s="819"/>
      <c r="AH1097" s="819"/>
      <c r="AI1097" s="819"/>
      <c r="AJ1097" s="819"/>
      <c r="AK1097" s="819"/>
      <c r="AL1097" s="819"/>
      <c r="AM1097" s="819"/>
      <c r="AN1097" s="819"/>
      <c r="AO1097" s="819"/>
      <c r="AP1097" s="819"/>
      <c r="AQ1097" s="819"/>
      <c r="AR1097" s="819"/>
      <c r="AS1097" s="819"/>
      <c r="AT1097" s="819"/>
      <c r="AU1097" s="819"/>
      <c r="AV1097" s="819"/>
      <c r="AW1097" s="819"/>
      <c r="AX1097" s="819"/>
      <c r="AY1097" s="819"/>
      <c r="AZ1097" s="819"/>
      <c r="BA1097" s="819"/>
      <c r="BB1097" s="819"/>
      <c r="BC1097" s="819"/>
      <c r="BD1097" s="819"/>
      <c r="BE1097" s="819"/>
      <c r="BF1097" s="819"/>
      <c r="BG1097" s="819"/>
      <c r="BH1097" s="820"/>
      <c r="BI1097" s="84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J1097" s="84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K1097" s="84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L1097" s="84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M1097" s="84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N1097" s="84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O1097" s="84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P1097" s="84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Q1097" s="84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R1097" s="363"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S1097" s="351"/>
    </row>
    <row r="1098" spans="1:71" s="22" customFormat="1" ht="15">
      <c r="A1098" s="366"/>
      <c r="B1098" s="823"/>
      <c r="C1098" s="362"/>
      <c r="D1098" s="362"/>
      <c r="E1098" s="823"/>
      <c r="F1098" s="823"/>
      <c r="G1098" s="823"/>
      <c r="H1098" s="823"/>
      <c r="I1098" s="823"/>
      <c r="J1098" s="823"/>
      <c r="K1098" s="823"/>
      <c r="L1098" s="823"/>
      <c r="M1098" s="823"/>
      <c r="N1098" s="823"/>
      <c r="O1098" s="823"/>
      <c r="P1098" s="823"/>
      <c r="Q1098" s="823"/>
      <c r="R1098" s="823"/>
      <c r="S1098" s="823"/>
      <c r="T1098" s="823"/>
      <c r="U1098" s="823"/>
      <c r="V1098" s="823"/>
      <c r="W1098" s="823"/>
      <c r="X1098" s="823"/>
      <c r="Y1098" s="823"/>
      <c r="Z1098" s="823"/>
      <c r="AA1098" s="823"/>
      <c r="AB1098" s="823"/>
      <c r="AC1098" s="823"/>
      <c r="AD1098" s="823"/>
      <c r="AE1098" s="823"/>
      <c r="AF1098" s="823"/>
      <c r="AG1098" s="823"/>
      <c r="AH1098" s="823"/>
      <c r="AI1098" s="823"/>
      <c r="AJ1098" s="823"/>
      <c r="AK1098" s="823"/>
      <c r="AL1098" s="823"/>
      <c r="AM1098" s="823"/>
      <c r="AN1098" s="823"/>
      <c r="AO1098" s="823"/>
      <c r="AP1098" s="823"/>
      <c r="AQ1098" s="823"/>
      <c r="AR1098" s="823"/>
      <c r="AS1098" s="823"/>
      <c r="AT1098" s="823"/>
      <c r="AU1098" s="823"/>
      <c r="AV1098" s="823"/>
      <c r="AW1098" s="823"/>
      <c r="AX1098" s="823"/>
      <c r="AY1098" s="823"/>
      <c r="AZ1098" s="823"/>
      <c r="BA1098" s="823"/>
      <c r="BB1098" s="823"/>
      <c r="BC1098" s="823"/>
      <c r="BD1098" s="823"/>
      <c r="BE1098" s="823"/>
      <c r="BF1098" s="823"/>
      <c r="BG1098" s="823"/>
      <c r="BH1098" s="451"/>
      <c r="BI1098" s="823"/>
      <c r="BJ1098" s="823"/>
      <c r="BK1098" s="823"/>
      <c r="BL1098" s="823"/>
      <c r="BM1098" s="823"/>
      <c r="BN1098" s="823"/>
      <c r="BO1098" s="823"/>
      <c r="BP1098" s="823"/>
      <c r="BQ1098" s="823"/>
      <c r="BR1098" s="364"/>
      <c r="BS1098" s="351"/>
    </row>
    <row r="1099" spans="1:71" s="22" customFormat="1" ht="15">
      <c r="A1099" s="352"/>
      <c r="B1099" s="353"/>
      <c r="C1099" s="354"/>
      <c r="D1099" s="354"/>
      <c r="E1099" s="353"/>
      <c r="F1099" s="353"/>
      <c r="G1099" s="353"/>
      <c r="H1099" s="353"/>
      <c r="I1099" s="353"/>
      <c r="J1099" s="353"/>
      <c r="K1099" s="353"/>
      <c r="L1099" s="353"/>
      <c r="M1099" s="353"/>
      <c r="N1099" s="353"/>
      <c r="O1099" s="353"/>
      <c r="P1099" s="353"/>
      <c r="Q1099" s="353"/>
      <c r="R1099" s="353"/>
      <c r="S1099" s="353"/>
      <c r="T1099" s="353"/>
      <c r="U1099" s="353"/>
      <c r="V1099" s="353"/>
      <c r="W1099" s="353"/>
      <c r="X1099" s="353"/>
      <c r="Y1099" s="353"/>
      <c r="Z1099" s="353"/>
      <c r="AA1099" s="353"/>
      <c r="AB1099" s="353"/>
      <c r="AC1099" s="353"/>
      <c r="AD1099" s="353"/>
      <c r="AE1099" s="353"/>
      <c r="AF1099" s="353"/>
      <c r="AG1099" s="353"/>
      <c r="AH1099" s="353"/>
      <c r="AI1099" s="353"/>
      <c r="AJ1099" s="353"/>
      <c r="AK1099" s="353"/>
      <c r="AL1099" s="353"/>
      <c r="AM1099" s="353"/>
      <c r="AN1099" s="353"/>
      <c r="AO1099" s="353"/>
      <c r="AP1099" s="353"/>
      <c r="AQ1099" s="353"/>
      <c r="AR1099" s="353"/>
      <c r="AS1099" s="353"/>
      <c r="AT1099" s="353"/>
      <c r="AU1099" s="353"/>
      <c r="AV1099" s="353"/>
      <c r="AW1099" s="353"/>
      <c r="AX1099" s="353"/>
      <c r="AY1099" s="353"/>
      <c r="AZ1099" s="353"/>
      <c r="BA1099" s="353"/>
      <c r="BB1099" s="353"/>
      <c r="BC1099" s="353"/>
      <c r="BD1099" s="353"/>
      <c r="BE1099" s="353"/>
      <c r="BF1099" s="353"/>
      <c r="BG1099" s="353"/>
      <c r="BH1099" s="452"/>
      <c r="BI1099" s="353"/>
      <c r="BJ1099" s="353"/>
      <c r="BK1099" s="353"/>
      <c r="BL1099" s="353"/>
      <c r="BM1099" s="353"/>
      <c r="BN1099" s="353"/>
      <c r="BO1099" s="353"/>
      <c r="BP1099" s="353"/>
      <c r="BQ1099" s="353"/>
      <c r="BR1099" s="353"/>
      <c r="BS1099" s="822"/>
    </row>
    <row r="1100" spans="1:71" s="22" customFormat="1" ht="15">
      <c r="A1100" s="316" t="s">
        <v>240</v>
      </c>
      <c r="B1100" s="313"/>
      <c r="C1100" s="314"/>
      <c r="D1100" s="314"/>
      <c r="E1100" s="313"/>
      <c r="F1100" s="313"/>
      <c r="G1100" s="313"/>
      <c r="H1100" s="313"/>
      <c r="I1100" s="313"/>
      <c r="J1100" s="313"/>
      <c r="K1100" s="313"/>
      <c r="L1100" s="313"/>
      <c r="M1100" s="313"/>
      <c r="N1100" s="313"/>
      <c r="O1100" s="313"/>
      <c r="P1100" s="313"/>
      <c r="Q1100" s="313"/>
      <c r="R1100" s="313"/>
      <c r="S1100" s="313"/>
      <c r="T1100" s="313"/>
      <c r="U1100" s="313"/>
      <c r="V1100" s="313"/>
      <c r="W1100" s="313"/>
      <c r="X1100" s="313"/>
      <c r="Y1100" s="313"/>
      <c r="Z1100" s="313"/>
      <c r="AA1100" s="313"/>
      <c r="AB1100" s="313"/>
      <c r="AC1100" s="313"/>
      <c r="AD1100" s="313"/>
      <c r="AE1100" s="313"/>
      <c r="AF1100" s="313"/>
      <c r="AG1100" s="313"/>
      <c r="AH1100" s="313"/>
      <c r="AI1100" s="313"/>
      <c r="AJ1100" s="313"/>
      <c r="AK1100" s="313"/>
      <c r="AL1100" s="313"/>
      <c r="AM1100" s="313"/>
      <c r="AN1100" s="313"/>
      <c r="AO1100" s="313"/>
      <c r="AP1100" s="313"/>
      <c r="AQ1100" s="313"/>
      <c r="AR1100" s="313"/>
      <c r="AS1100" s="313"/>
      <c r="AT1100" s="313"/>
      <c r="AU1100" s="313"/>
      <c r="AV1100" s="313"/>
      <c r="AW1100" s="313"/>
      <c r="AX1100" s="313"/>
      <c r="AY1100" s="313"/>
      <c r="AZ1100" s="313"/>
      <c r="BA1100" s="313"/>
      <c r="BB1100" s="313"/>
      <c r="BC1100" s="313"/>
      <c r="BD1100" s="313"/>
      <c r="BE1100" s="313"/>
      <c r="BF1100" s="313"/>
      <c r="BG1100" s="313"/>
      <c r="BH1100" s="453"/>
      <c r="BI1100" s="313"/>
      <c r="BJ1100" s="313"/>
      <c r="BK1100" s="313"/>
      <c r="BL1100" s="313"/>
      <c r="BM1100" s="313"/>
      <c r="BN1100" s="313"/>
      <c r="BO1100" s="313"/>
      <c r="BP1100" s="313"/>
      <c r="BQ1100" s="313"/>
      <c r="BR1100" s="315"/>
      <c r="BS1100" s="351"/>
    </row>
    <row r="1101" spans="1:71" s="22" customFormat="1" ht="15">
      <c r="A1101" s="317" t="s">
        <v>241</v>
      </c>
      <c r="B1101" s="819"/>
      <c r="C1101" s="594">
        <f t="shared" si="2713" ref="C1101:AP1101">INDEX(MO_Common_QEndDate,0,COLUMN())-INDEX(MO_Common_FPDays,0,COLUMN())+1</f>
        <v>39814</v>
      </c>
      <c r="D1101" s="594">
        <f t="shared" si="2713"/>
        <v>40179</v>
      </c>
      <c r="E1101" s="595">
        <f t="shared" si="2713"/>
        <v>40544</v>
      </c>
      <c r="F1101" s="595">
        <f t="shared" si="2713"/>
        <v>40909</v>
      </c>
      <c r="G1101" s="595">
        <f t="shared" si="2713"/>
        <v>41275</v>
      </c>
      <c r="H1101" s="595">
        <f t="shared" si="2713"/>
        <v>41640</v>
      </c>
      <c r="I1101" s="595">
        <f t="shared" si="2713"/>
        <v>41730</v>
      </c>
      <c r="J1101" s="595">
        <f t="shared" si="2713"/>
        <v>41821</v>
      </c>
      <c r="K1101" s="595">
        <f t="shared" si="2713"/>
        <v>41913</v>
      </c>
      <c r="L1101" s="595">
        <f t="shared" si="2713"/>
        <v>41640</v>
      </c>
      <c r="M1101" s="595">
        <f t="shared" si="2713"/>
        <v>42005</v>
      </c>
      <c r="N1101" s="595">
        <f t="shared" si="2713"/>
        <v>42095</v>
      </c>
      <c r="O1101" s="595">
        <f t="shared" si="2713"/>
        <v>42186</v>
      </c>
      <c r="P1101" s="595">
        <f t="shared" si="2713"/>
        <v>42278</v>
      </c>
      <c r="Q1101" s="595">
        <f t="shared" si="2713"/>
        <v>42005</v>
      </c>
      <c r="R1101" s="595">
        <f t="shared" si="2713"/>
        <v>42370</v>
      </c>
      <c r="S1101" s="595">
        <f t="shared" si="2713"/>
        <v>42461</v>
      </c>
      <c r="T1101" s="595">
        <f t="shared" si="2713"/>
        <v>42552</v>
      </c>
      <c r="U1101" s="595">
        <f t="shared" si="2713"/>
        <v>42644</v>
      </c>
      <c r="V1101" s="595">
        <f t="shared" si="2713"/>
        <v>42370</v>
      </c>
      <c r="W1101" s="595">
        <f t="shared" si="2713"/>
        <v>42736</v>
      </c>
      <c r="X1101" s="595">
        <f t="shared" si="2713"/>
        <v>42826</v>
      </c>
      <c r="Y1101" s="595">
        <f t="shared" si="2713"/>
        <v>42917</v>
      </c>
      <c r="Z1101" s="595">
        <f t="shared" si="2713"/>
        <v>43009</v>
      </c>
      <c r="AA1101" s="595">
        <f t="shared" si="2713"/>
        <v>42736</v>
      </c>
      <c r="AB1101" s="595">
        <f t="shared" si="2713"/>
        <v>43101</v>
      </c>
      <c r="AC1101" s="595">
        <f t="shared" si="2713"/>
        <v>43191</v>
      </c>
      <c r="AD1101" s="595">
        <f t="shared" si="2713"/>
        <v>43282</v>
      </c>
      <c r="AE1101" s="595">
        <f t="shared" si="2713"/>
        <v>43374</v>
      </c>
      <c r="AF1101" s="595">
        <f t="shared" si="2713"/>
        <v>43101</v>
      </c>
      <c r="AG1101" s="595">
        <f t="shared" si="2713"/>
        <v>43466</v>
      </c>
      <c r="AH1101" s="595">
        <f t="shared" si="2713"/>
        <v>43556</v>
      </c>
      <c r="AI1101" s="595">
        <f t="shared" si="2713"/>
        <v>43647</v>
      </c>
      <c r="AJ1101" s="595">
        <f t="shared" si="2713"/>
        <v>43739</v>
      </c>
      <c r="AK1101" s="595">
        <f t="shared" si="2713"/>
        <v>43466</v>
      </c>
      <c r="AL1101" s="595">
        <f>INDEX(MO_Common_QEndDate,0,COLUMN())-INDEX(MO_Common_FPDays,0,COLUMN())+1</f>
        <v>43831</v>
      </c>
      <c r="AM1101" s="595">
        <f>INDEX(MO_Common_QEndDate,0,COLUMN())-INDEX(MO_Common_FPDays,0,COLUMN())+1</f>
        <v>43922</v>
      </c>
      <c r="AN1101" s="595">
        <f>INDEX(MO_Common_QEndDate,0,COLUMN())-INDEX(MO_Common_FPDays,0,COLUMN())+1</f>
        <v>44013</v>
      </c>
      <c r="AO1101" s="595">
        <f t="shared" si="2713"/>
        <v>44105</v>
      </c>
      <c r="AP1101" s="595">
        <f t="shared" si="2713"/>
        <v>43831</v>
      </c>
      <c r="AQ1101" s="595">
        <f t="shared" si="2714" ref="AQ1101:AV1101">INDEX(MO_Common_QEndDate,0,COLUMN())-INDEX(MO_Common_FPDays,0,COLUMN())+1</f>
        <v>44197</v>
      </c>
      <c r="AR1101" s="595">
        <f t="shared" si="2714"/>
        <v>44287</v>
      </c>
      <c r="AS1101" s="595">
        <f t="shared" si="2714"/>
        <v>44378</v>
      </c>
      <c r="AT1101" s="595">
        <f t="shared" si="2714"/>
        <v>44470</v>
      </c>
      <c r="AU1101" s="595">
        <f t="shared" si="2714"/>
        <v>44197</v>
      </c>
      <c r="AV1101" s="595">
        <f t="shared" si="2714"/>
        <v>44562</v>
      </c>
      <c r="AW1101" s="595">
        <f t="shared" si="2715" ref="AW1101:BJ1101">INDEX(MO_Common_QEndDate,0,COLUMN())-INDEX(MO_Common_FPDays,0,COLUMN())+1</f>
        <v>44652</v>
      </c>
      <c r="AX1101" s="595">
        <f t="shared" si="2715"/>
        <v>44743</v>
      </c>
      <c r="AY1101" s="595">
        <f t="shared" si="2715"/>
        <v>44835</v>
      </c>
      <c r="AZ1101" s="595">
        <f t="shared" si="2715"/>
        <v>44562</v>
      </c>
      <c r="BA1101" s="595">
        <f t="shared" si="2716" ref="BA1101:BI1101">INDEX(MO_Common_QEndDate,0,COLUMN())-INDEX(MO_Common_FPDays,0,COLUMN())+1</f>
        <v>44927</v>
      </c>
      <c r="BB1101" s="595">
        <f t="shared" si="2716"/>
        <v>45017</v>
      </c>
      <c r="BC1101" s="595">
        <f t="shared" si="2716"/>
        <v>45108</v>
      </c>
      <c r="BD1101" s="595">
        <f t="shared" si="2716"/>
        <v>45200</v>
      </c>
      <c r="BE1101" s="595">
        <f t="shared" si="2716"/>
        <v>44927</v>
      </c>
      <c r="BF1101" s="595">
        <f>INDEX(MO_Common_QEndDate,0,COLUMN())-INDEX(MO_Common_FPDays,0,COLUMN())+1</f>
        <v>45292</v>
      </c>
      <c r="BG1101" s="595">
        <f>INDEX(MO_Common_QEndDate,0,COLUMN())-INDEX(MO_Common_FPDays,0,COLUMN())+1</f>
        <v>45383</v>
      </c>
      <c r="BH1101" s="596">
        <f>INDEX(MO_Common_QEndDate,0,COLUMN())-INDEX(MO_Common_FPDays,0,COLUMN())+1</f>
        <v>45474</v>
      </c>
      <c r="BI1101" s="595">
        <f t="shared" si="2716"/>
        <v>45566</v>
      </c>
      <c r="BJ1101" s="595">
        <f t="shared" si="2715"/>
        <v>45292</v>
      </c>
      <c r="BK1101" s="595">
        <f t="shared" si="2717" ref="BK1101:BR1101">INDEX(MO_Common_QEndDate,0,COLUMN())-INDEX(MO_Common_FPDays,0,COLUMN())+1</f>
        <v>45658</v>
      </c>
      <c r="BL1101" s="595">
        <f t="shared" si="2717"/>
        <v>45748</v>
      </c>
      <c r="BM1101" s="595">
        <f t="shared" si="2717"/>
        <v>45839</v>
      </c>
      <c r="BN1101" s="595">
        <f t="shared" si="2717"/>
        <v>45931</v>
      </c>
      <c r="BO1101" s="595">
        <f t="shared" si="2717"/>
        <v>45658</v>
      </c>
      <c r="BP1101" s="595">
        <f t="shared" si="2717"/>
        <v>46023</v>
      </c>
      <c r="BQ1101" s="595">
        <f t="shared" si="2717"/>
        <v>46388</v>
      </c>
      <c r="BR1101" s="597">
        <f t="shared" si="2717"/>
        <v>46753</v>
      </c>
      <c r="BS1101" s="351"/>
    </row>
    <row r="1102" spans="1:71" s="22" customFormat="1" ht="15">
      <c r="A1102" s="317" t="s">
        <v>295</v>
      </c>
      <c r="B1102" s="819"/>
      <c r="C1102" s="594" t="b">
        <f>TRUE</f>
        <v>1</v>
      </c>
      <c r="D1102" s="594" t="b">
        <f>TRUE</f>
        <v>1</v>
      </c>
      <c r="E1102" s="595" t="b">
        <f>TRUE</f>
        <v>1</v>
      </c>
      <c r="F1102" s="595" t="b">
        <f>TRUE</f>
        <v>1</v>
      </c>
      <c r="G1102" s="595" t="b">
        <f>TRUE</f>
        <v>1</v>
      </c>
      <c r="H1102" s="595" t="b">
        <f>TRUE</f>
        <v>1</v>
      </c>
      <c r="I1102" s="595" t="b">
        <f>TRUE</f>
        <v>1</v>
      </c>
      <c r="J1102" s="595" t="b">
        <f>TRUE</f>
        <v>1</v>
      </c>
      <c r="K1102" s="595" t="b">
        <f>TRUE</f>
        <v>1</v>
      </c>
      <c r="L1102" s="595" t="b">
        <f>TRUE</f>
        <v>1</v>
      </c>
      <c r="M1102" s="595" t="b">
        <f>TRUE</f>
        <v>1</v>
      </c>
      <c r="N1102" s="595" t="b">
        <f>TRUE</f>
        <v>1</v>
      </c>
      <c r="O1102" s="595" t="b">
        <f>TRUE</f>
        <v>1</v>
      </c>
      <c r="P1102" s="595" t="b">
        <f>TRUE</f>
        <v>1</v>
      </c>
      <c r="Q1102" s="595" t="b">
        <f>TRUE</f>
        <v>1</v>
      </c>
      <c r="R1102" s="595" t="b">
        <f>TRUE</f>
        <v>1</v>
      </c>
      <c r="S1102" s="595" t="b">
        <f>TRUE</f>
        <v>1</v>
      </c>
      <c r="T1102" s="595" t="b">
        <f>TRUE</f>
        <v>1</v>
      </c>
      <c r="U1102" s="595" t="b">
        <f>TRUE</f>
        <v>1</v>
      </c>
      <c r="V1102" s="595" t="b">
        <f>TRUE</f>
        <v>1</v>
      </c>
      <c r="W1102" s="595" t="b">
        <f>TRUE</f>
        <v>1</v>
      </c>
      <c r="X1102" s="595" t="b">
        <f>TRUE</f>
        <v>1</v>
      </c>
      <c r="Y1102" s="595" t="b">
        <f>TRUE</f>
        <v>1</v>
      </c>
      <c r="Z1102" s="595" t="b">
        <f>TRUE</f>
        <v>1</v>
      </c>
      <c r="AA1102" s="595" t="b">
        <f>TRUE</f>
        <v>1</v>
      </c>
      <c r="AB1102" s="595" t="b">
        <f>TRUE</f>
        <v>1</v>
      </c>
      <c r="AC1102" s="595" t="b">
        <f>TRUE</f>
        <v>1</v>
      </c>
      <c r="AD1102" s="595" t="b">
        <f>TRUE</f>
        <v>1</v>
      </c>
      <c r="AE1102" s="595" t="b">
        <f>TRUE</f>
        <v>1</v>
      </c>
      <c r="AF1102" s="595" t="b">
        <f>TRUE</f>
        <v>1</v>
      </c>
      <c r="AG1102" s="595" t="b">
        <f>TRUE</f>
        <v>1</v>
      </c>
      <c r="AH1102" s="595" t="b">
        <f>TRUE</f>
        <v>1</v>
      </c>
      <c r="AI1102" s="595" t="b">
        <f>TRUE</f>
        <v>1</v>
      </c>
      <c r="AJ1102" s="595" t="b">
        <f>TRUE</f>
        <v>1</v>
      </c>
      <c r="AK1102" s="595" t="b">
        <f>TRUE</f>
        <v>1</v>
      </c>
      <c r="AL1102" s="595" t="b">
        <f>TRUE</f>
        <v>1</v>
      </c>
      <c r="AM1102" s="595" t="b">
        <f>TRUE</f>
        <v>1</v>
      </c>
      <c r="AN1102" s="595" t="b">
        <f>TRUE</f>
        <v>1</v>
      </c>
      <c r="AO1102" s="595" t="b">
        <f>TRUE</f>
        <v>1</v>
      </c>
      <c r="AP1102" s="595" t="b">
        <f>TRUE</f>
        <v>1</v>
      </c>
      <c r="AQ1102" s="595" t="b">
        <f>TRUE</f>
        <v>1</v>
      </c>
      <c r="AR1102" s="595" t="b">
        <f>TRUE</f>
        <v>1</v>
      </c>
      <c r="AS1102" s="595" t="b">
        <f>TRUE</f>
        <v>1</v>
      </c>
      <c r="AT1102" s="595" t="b">
        <f>TRUE</f>
        <v>1</v>
      </c>
      <c r="AU1102" s="595" t="b">
        <f>TRUE</f>
        <v>1</v>
      </c>
      <c r="AV1102" s="595" t="b">
        <f>TRUE</f>
        <v>1</v>
      </c>
      <c r="AW1102" s="595" t="b">
        <f>TRUE</f>
        <v>1</v>
      </c>
      <c r="AX1102" s="595" t="b">
        <f>TRUE</f>
        <v>1</v>
      </c>
      <c r="AY1102" s="595" t="b">
        <f>TRUE</f>
        <v>1</v>
      </c>
      <c r="AZ1102" s="595" t="b">
        <f>TRUE</f>
        <v>1</v>
      </c>
      <c r="BA1102" s="595" t="b">
        <f>TRUE</f>
        <v>1</v>
      </c>
      <c r="BB1102" s="595" t="b">
        <f>TRUE</f>
        <v>1</v>
      </c>
      <c r="BC1102" s="595" t="b">
        <f>TRUE</f>
        <v>1</v>
      </c>
      <c r="BD1102" s="595" t="b">
        <f>TRUE</f>
        <v>1</v>
      </c>
      <c r="BE1102" s="595" t="b">
        <f>TRUE</f>
        <v>1</v>
      </c>
      <c r="BF1102" s="595" t="b">
        <f>TRUE</f>
        <v>1</v>
      </c>
      <c r="BG1102" s="595" t="b">
        <f>TRUE</f>
        <v>1</v>
      </c>
      <c r="BH1102" s="596" t="b">
        <f>TRUE</f>
        <v>1</v>
      </c>
      <c r="BI1102" s="595" t="b">
        <f>FALSE</f>
        <v>0</v>
      </c>
      <c r="BJ1102" s="595" t="b">
        <f>FALSE</f>
        <v>0</v>
      </c>
      <c r="BK1102" s="595" t="b">
        <f>FALSE</f>
        <v>0</v>
      </c>
      <c r="BL1102" s="595" t="b">
        <f>FALSE</f>
        <v>0</v>
      </c>
      <c r="BM1102" s="595" t="b">
        <f>FALSE</f>
        <v>0</v>
      </c>
      <c r="BN1102" s="595" t="b">
        <f>FALSE</f>
        <v>0</v>
      </c>
      <c r="BO1102" s="595" t="b">
        <f>FALSE</f>
        <v>0</v>
      </c>
      <c r="BP1102" s="595" t="b">
        <f>FALSE</f>
        <v>0</v>
      </c>
      <c r="BQ1102" s="595" t="b">
        <f>FALSE</f>
        <v>0</v>
      </c>
      <c r="BR1102" s="597" t="b">
        <f>FALSE</f>
        <v>0</v>
      </c>
      <c r="BS1102" s="351"/>
    </row>
    <row r="1103" spans="1:71" s="322" customFormat="1" ht="15">
      <c r="A1103" s="318" t="str">
        <f ca="1">"Stock High: "&amp;IF(OR(MO.RealTimeStockPriceToggle=FALSE,VLOOKUP(MO.DataSourceName,MO_SPT_StockHigh_Sources,COLUMN()+2,FALSE)="N/A"),"Real-Time Off Source",MO.DataSourceName)</f>
        <v>Stock High: Real-Time Off Source</v>
      </c>
      <c r="B1103" s="319"/>
      <c r="C1103" s="320">
        <f ca="1" t="shared" si="2718" ref="C1103:AP1103">IF(OR(MO.RealTimeStockPriceToggle=FALSE,VLOOKUP(MO.DataSourceName,MO_SPT_StockHigh_Sources,COLUMN(),FALSE)="N/A"),VLOOKUP("Real-Time Off Source",MO_SPT_StockHigh_Sources,COLUMN(),FALSE),VLOOKUP(MO.DataSourceName,MO_SPT_StockHigh_Sources,COLUMN(),FALSE))</f>
        <v>33.50</v>
      </c>
      <c r="D1103" s="320">
        <f t="shared" ca="1" si="2718"/>
        <v>35.51</v>
      </c>
      <c r="E1103" s="319">
        <f t="shared" ca="1" si="2718"/>
        <v>34.40</v>
      </c>
      <c r="F1103" s="319">
        <f t="shared" ca="1" si="2718"/>
        <v>42.81</v>
      </c>
      <c r="G1103" s="319">
        <f t="shared" ca="1" si="2718"/>
        <v>54.84</v>
      </c>
      <c r="H1103" s="319">
        <f t="shared" ca="1" si="2718"/>
        <v>56.65</v>
      </c>
      <c r="I1103" s="319">
        <f t="shared" ca="1" si="2718"/>
        <v>59.68</v>
      </c>
      <c r="J1103" s="319">
        <f t="shared" ca="1" si="2718"/>
        <v>62.59</v>
      </c>
      <c r="K1103" s="319">
        <f t="shared" ca="1" si="2718"/>
        <v>71.53</v>
      </c>
      <c r="L1103" s="319">
        <f t="shared" ca="1" si="2718"/>
        <v>71.53</v>
      </c>
      <c r="M1103" s="319">
        <f t="shared" ca="1" si="2718"/>
        <v>72.870000000000005</v>
      </c>
      <c r="N1103" s="319">
        <f t="shared" ca="1" si="2718"/>
        <v>72.510000000000005</v>
      </c>
      <c r="O1103" s="319">
        <f t="shared" ca="1" si="2718"/>
        <v>69.48</v>
      </c>
      <c r="P1103" s="319">
        <f t="shared" ca="1" si="2718"/>
        <v>64.69</v>
      </c>
      <c r="Q1103" s="319">
        <f t="shared" ca="1" si="2718"/>
        <v>72.870000000000005</v>
      </c>
      <c r="R1103" s="319">
        <f t="shared" ca="1" si="2718"/>
        <v>67.92</v>
      </c>
      <c r="S1103" s="319">
        <f t="shared" ca="1" si="2718"/>
        <v>69.95</v>
      </c>
      <c r="T1103" s="319">
        <f t="shared" ca="1" si="2718"/>
        <v>70.379999999999995</v>
      </c>
      <c r="U1103" s="319">
        <f t="shared" ca="1" si="2718"/>
        <v>74.77</v>
      </c>
      <c r="V1103" s="319">
        <f t="shared" ca="1" si="2718"/>
        <v>74.77</v>
      </c>
      <c r="W1103" s="319">
        <f t="shared" ca="1" si="2718"/>
        <v>83.09</v>
      </c>
      <c r="X1103" s="319">
        <f t="shared" ca="1" si="2718"/>
        <v>90.74</v>
      </c>
      <c r="Y1103" s="319">
        <f t="shared" ca="1" si="2718"/>
        <v>95.25</v>
      </c>
      <c r="Z1103" s="319">
        <f t="shared" ca="1" si="2718"/>
        <v>105.36</v>
      </c>
      <c r="AA1103" s="319">
        <f t="shared" ca="1" si="2718"/>
        <v>105.36</v>
      </c>
      <c r="AB1103" s="319">
        <f t="shared" ca="1" si="2718"/>
        <v>102.39709999999999</v>
      </c>
      <c r="AC1103" s="319">
        <f t="shared" ca="1" si="2718"/>
        <v>97.176000000000002</v>
      </c>
      <c r="AD1103" s="319">
        <f t="shared" ca="1" si="2718"/>
        <v>101.50360000000001</v>
      </c>
      <c r="AE1103" s="319">
        <f t="shared" ca="1" si="2718"/>
        <v>99.941699999999997</v>
      </c>
      <c r="AF1103" s="319">
        <f t="shared" ca="1" si="2718"/>
        <v>102.39709999999999</v>
      </c>
      <c r="AG1103" s="319">
        <f t="shared" ca="1" si="2718"/>
        <v>95.06</v>
      </c>
      <c r="AH1103" s="319">
        <f t="shared" ca="1" si="2718"/>
        <v>103.55</v>
      </c>
      <c r="AI1103" s="319">
        <f t="shared" ca="1" si="2718"/>
        <v>108.68000000000001</v>
      </c>
      <c r="AJ1103" s="319">
        <f t="shared" ca="1" si="2718"/>
        <v>112.62</v>
      </c>
      <c r="AK1103" s="319">
        <f t="shared" ca="1" si="2718"/>
        <v>112.62</v>
      </c>
      <c r="AL1103" s="319">
        <f ca="1">IF(OR(MO.RealTimeStockPriceToggle=FALSE,VLOOKUP(MO.DataSourceName,MO_SPT_StockHigh_Sources,COLUMN(),FALSE)="N/A"),VLOOKUP("Real-Time Off Source",MO_SPT_StockHigh_Sources,COLUMN(),FALSE),VLOOKUP(MO.DataSourceName,MO_SPT_StockHigh_Sources,COLUMN(),FALSE))</f>
        <v>125.56999999999999</v>
      </c>
      <c r="AM1103" s="319">
        <f ca="1">IF(OR(MO.RealTimeStockPriceToggle=FALSE,VLOOKUP(MO.DataSourceName,MO_SPT_StockHigh_Sources,COLUMN(),FALSE)="N/A"),VLOOKUP("Real-Time Off Source",MO_SPT_StockHigh_Sources,COLUMN(),FALSE),VLOOKUP(MO.DataSourceName,MO_SPT_StockHigh_Sources,COLUMN(),FALSE))</f>
        <v>106.98999999999999</v>
      </c>
      <c r="AN1103" s="319">
        <f ca="1">IF(OR(MO.RealTimeStockPriceToggle=FALSE,VLOOKUP(MO.DataSourceName,MO_SPT_StockHigh_Sources,COLUMN(),FALSE)="N/A"),VLOOKUP("Real-Time Off Source",MO_SPT_StockHigh_Sources,COLUMN(),FALSE),VLOOKUP(MO.DataSourceName,MO_SPT_StockHigh_Sources,COLUMN(),FALSE))</f>
        <v>97.25</v>
      </c>
      <c r="AO1103" s="319">
        <f t="shared" ca="1" si="2718"/>
        <v>109.93000000000001</v>
      </c>
      <c r="AP1103" s="319">
        <f t="shared" ca="1" si="2718"/>
        <v>125.56999999999999</v>
      </c>
      <c r="AQ1103" s="319">
        <f ca="1" t="shared" si="2719" ref="AQ1103:AV1103">IF(OR(MO.RealTimeStockPriceToggle=FALSE,VLOOKUP(MO.DataSourceName,MO_SPT_StockHigh_Sources,COLUMN(),FALSE)="N/A"),VLOOKUP("Real-Time Off Source",MO_SPT_StockHigh_Sources,COLUMN(),FALSE),VLOOKUP(MO.DataSourceName,MO_SPT_StockHigh_Sources,COLUMN(),FALSE))</f>
        <v>117.27</v>
      </c>
      <c r="AR1103" s="319">
        <f t="shared" ca="1" si="2719"/>
        <v>139.25999999999999</v>
      </c>
      <c r="AS1103" s="319">
        <f t="shared" ca="1" si="2719"/>
        <v>137.87</v>
      </c>
      <c r="AT1103" s="319">
        <f t="shared" ca="1" si="2719"/>
        <v>129</v>
      </c>
      <c r="AU1103" s="319">
        <f t="shared" ca="1" si="2719"/>
        <v>139.25999999999999</v>
      </c>
      <c r="AV1103" s="319">
        <f t="shared" ca="1" si="2719"/>
        <v>141.80000000000001</v>
      </c>
      <c r="AW1103" s="319">
        <f ca="1" t="shared" si="2720" ref="AW1103:BJ1103">IF(OR(MO.RealTimeStockPriceToggle=FALSE,VLOOKUP(MO.DataSourceName,MO_SPT_StockHigh_Sources,COLUMN(),FALSE)="N/A"),VLOOKUP("Real-Time Off Source",MO_SPT_StockHigh_Sources,COLUMN(),FALSE),VLOOKUP(MO.DataSourceName,MO_SPT_StockHigh_Sources,COLUMN(),FALSE))</f>
        <v>143.86000000000001</v>
      </c>
      <c r="AX1103" s="319">
        <f t="shared" ca="1" si="2720"/>
        <v>133.02000000000001</v>
      </c>
      <c r="AY1103" s="319">
        <f t="shared" ca="1" si="2720"/>
        <v>137.38</v>
      </c>
      <c r="AZ1103" s="319">
        <f t="shared" ca="1" si="2720"/>
        <v>143.86000000000001</v>
      </c>
      <c r="BA1103" s="319">
        <f ca="1" t="shared" si="2721" ref="BA1103:BI1103">IF(OR(MO.RealTimeStockPriceToggle=FALSE,VLOOKUP(MO.DataSourceName,MO_SPT_StockHigh_Sources,COLUMN(),FALSE)="N/A"),VLOOKUP("Real-Time Off Source",MO_SPT_StockHigh_Sources,COLUMN(),FALSE),VLOOKUP(MO.DataSourceName,MO_SPT_StockHigh_Sources,COLUMN(),FALSE))</f>
        <v>141.37</v>
      </c>
      <c r="BB1103" s="319">
        <f t="shared" ca="1" si="2721"/>
        <v>119</v>
      </c>
      <c r="BC1103" s="319">
        <f t="shared" ca="1" si="2721"/>
        <v>115.23999999999999</v>
      </c>
      <c r="BD1103" s="319">
        <f t="shared" ca="1" si="2721"/>
        <v>144.36000000000001</v>
      </c>
      <c r="BE1103" s="319">
        <f t="shared" ca="1" si="2721"/>
        <v>144.36000000000001</v>
      </c>
      <c r="BF1103" s="319">
        <f ca="1">IF(OR(MO.RealTimeStockPriceToggle=FALSE,VLOOKUP(MO.DataSourceName,MO_SPT_StockHigh_Sources,COLUMN(),FALSE)="N/A"),VLOOKUP("Real-Time Off Source",MO_SPT_StockHigh_Sources,COLUMN(),FALSE),VLOOKUP(MO.DataSourceName,MO_SPT_StockHigh_Sources,COLUMN(),FALSE))</f>
        <v>173.01</v>
      </c>
      <c r="BG1103" s="319">
        <f ca="1">IF(OR(MO.RealTimeStockPriceToggle=FALSE,VLOOKUP(MO.DataSourceName,MO_SPT_StockHigh_Sources,COLUMN(),FALSE)="N/A"),VLOOKUP("Real-Time Off Source",MO_SPT_StockHigh_Sources,COLUMN(),FALSE),VLOOKUP(MO.DataSourceName,MO_SPT_StockHigh_Sources,COLUMN(),FALSE))</f>
        <v>175.41</v>
      </c>
      <c r="BH1103" s="454">
        <f ca="1">IF(OR(MO.RealTimeStockPriceToggle=FALSE,VLOOKUP(MO.DataSourceName,MO_SPT_StockHigh_Sources,COLUMN(),FALSE)="N/A"),VLOOKUP("Real-Time Off Source",MO_SPT_StockHigh_Sources,COLUMN(),FALSE),VLOOKUP(MO.DataSourceName,MO_SPT_StockHigh_Sources,COLUMN(),FALSE))</f>
        <v>192.89</v>
      </c>
      <c r="BI1103" s="319">
        <f t="shared" ca="1" si="2721"/>
        <v>0</v>
      </c>
      <c r="BJ1103" s="319">
        <f t="shared" ca="1" si="2720"/>
        <v>0</v>
      </c>
      <c r="BK1103" s="319">
        <f ca="1" t="shared" si="2722" ref="BK1103:BR1103">IF(OR(MO.RealTimeStockPriceToggle=FALSE,VLOOKUP(MO.DataSourceName,MO_SPT_StockHigh_Sources,COLUMN(),FALSE)="N/A"),VLOOKUP("Real-Time Off Source",MO_SPT_StockHigh_Sources,COLUMN(),FALSE),VLOOKUP(MO.DataSourceName,MO_SPT_StockHigh_Sources,COLUMN(),FALSE))</f>
        <v>0</v>
      </c>
      <c r="BL1103" s="319">
        <f t="shared" ca="1" si="2722"/>
        <v>0</v>
      </c>
      <c r="BM1103" s="319">
        <f t="shared" ca="1" si="2722"/>
        <v>0</v>
      </c>
      <c r="BN1103" s="319">
        <f t="shared" ca="1" si="2722"/>
        <v>0</v>
      </c>
      <c r="BO1103" s="319">
        <f t="shared" ca="1" si="2722"/>
        <v>0</v>
      </c>
      <c r="BP1103" s="319">
        <f t="shared" ca="1" si="2722"/>
        <v>0</v>
      </c>
      <c r="BQ1103" s="319">
        <f t="shared" ca="1" si="2722"/>
        <v>0</v>
      </c>
      <c r="BR1103" s="321">
        <f t="shared" ca="1" si="2722"/>
        <v>0</v>
      </c>
      <c r="BS1103" s="355"/>
    </row>
    <row r="1104" spans="1:71" s="322" customFormat="1" ht="15" hidden="1" outlineLevel="1">
      <c r="A1104" s="323" t="s">
        <v>242</v>
      </c>
      <c r="B1104" s="319"/>
      <c r="C1104" s="955">
        <v>33.50</v>
      </c>
      <c r="D1104" s="955">
        <v>35.51</v>
      </c>
      <c r="E1104" s="956">
        <v>34.40</v>
      </c>
      <c r="F1104" s="956">
        <v>42.81</v>
      </c>
      <c r="G1104" s="956">
        <v>54.84</v>
      </c>
      <c r="H1104" s="956">
        <v>56.65</v>
      </c>
      <c r="I1104" s="956">
        <v>59.68</v>
      </c>
      <c r="J1104" s="956">
        <v>62.59</v>
      </c>
      <c r="K1104" s="956">
        <v>71.53</v>
      </c>
      <c r="L1104" s="956">
        <v>71.53</v>
      </c>
      <c r="M1104" s="956">
        <v>72.870000000000005</v>
      </c>
      <c r="N1104" s="956">
        <v>72.510000000000005</v>
      </c>
      <c r="O1104" s="956">
        <v>69.48</v>
      </c>
      <c r="P1104" s="956">
        <v>64.69</v>
      </c>
      <c r="Q1104" s="956">
        <v>72.870000000000005</v>
      </c>
      <c r="R1104" s="956">
        <v>67.92</v>
      </c>
      <c r="S1104" s="956">
        <v>69.95</v>
      </c>
      <c r="T1104" s="956">
        <v>70.379999999999995</v>
      </c>
      <c r="U1104" s="956">
        <v>74.77</v>
      </c>
      <c r="V1104" s="956">
        <v>74.77</v>
      </c>
      <c r="W1104" s="956">
        <v>83.09</v>
      </c>
      <c r="X1104" s="956">
        <v>90.74</v>
      </c>
      <c r="Y1104" s="956">
        <v>95.25</v>
      </c>
      <c r="Z1104" s="956">
        <v>105.36</v>
      </c>
      <c r="AA1104" s="956">
        <v>105.36</v>
      </c>
      <c r="AB1104" s="956">
        <v>102.39709999999999</v>
      </c>
      <c r="AC1104" s="956">
        <v>97.176000000000002</v>
      </c>
      <c r="AD1104" s="956">
        <v>101.50360000000001</v>
      </c>
      <c r="AE1104" s="956">
        <v>99.941699999999997</v>
      </c>
      <c r="AF1104" s="956">
        <v>102.39709999999999</v>
      </c>
      <c r="AG1104" s="956">
        <v>95.06</v>
      </c>
      <c r="AH1104" s="956">
        <v>103.55</v>
      </c>
      <c r="AI1104" s="956">
        <v>108.68000000000001</v>
      </c>
      <c r="AJ1104" s="956">
        <v>112.62</v>
      </c>
      <c r="AK1104" s="956">
        <v>112.62</v>
      </c>
      <c r="AL1104" s="956">
        <v>125.56999999999999</v>
      </c>
      <c r="AM1104" s="956">
        <v>106.98999999999999</v>
      </c>
      <c r="AN1104" s="956">
        <v>97.25</v>
      </c>
      <c r="AO1104" s="956">
        <v>109.93000000000001</v>
      </c>
      <c r="AP1104" s="956">
        <v>125.56999999999999</v>
      </c>
      <c r="AQ1104" s="956">
        <v>117.27</v>
      </c>
      <c r="AR1104" s="956">
        <v>139.25999999999999</v>
      </c>
      <c r="AS1104" s="956">
        <v>137.87</v>
      </c>
      <c r="AT1104" s="956">
        <v>129</v>
      </c>
      <c r="AU1104" s="956">
        <v>139.25999999999999</v>
      </c>
      <c r="AV1104" s="956">
        <v>141.80000000000001</v>
      </c>
      <c r="AW1104" s="956">
        <v>143.86000000000001</v>
      </c>
      <c r="AX1104" s="956">
        <v>133.02000000000001</v>
      </c>
      <c r="AY1104" s="956">
        <v>137.38</v>
      </c>
      <c r="AZ1104" s="956">
        <v>143.86000000000001</v>
      </c>
      <c r="BA1104" s="956">
        <v>141.37</v>
      </c>
      <c r="BB1104" s="956">
        <v>119</v>
      </c>
      <c r="BC1104" s="956">
        <v>115.23999999999999</v>
      </c>
      <c r="BD1104" s="956">
        <v>144.36000000000001</v>
      </c>
      <c r="BE1104" s="956">
        <v>144.36000000000001</v>
      </c>
      <c r="BF1104" s="956">
        <v>173.01</v>
      </c>
      <c r="BG1104" s="956">
        <v>175.41</v>
      </c>
      <c r="BH1104" s="957">
        <v>192.89</v>
      </c>
      <c r="BI1104" s="319"/>
      <c r="BJ1104" s="319"/>
      <c r="BK1104" s="319"/>
      <c r="BL1104" s="319"/>
      <c r="BM1104" s="319"/>
      <c r="BN1104" s="319"/>
      <c r="BO1104" s="319"/>
      <c r="BP1104" s="319"/>
      <c r="BQ1104" s="319"/>
      <c r="BR1104" s="321"/>
      <c r="BS1104" s="355"/>
    </row>
    <row r="1105" spans="1:71" s="322" customFormat="1" ht="15" hidden="1" outlineLevel="1">
      <c r="A1105" s="323" t="s">
        <v>7</v>
      </c>
      <c r="B1105" s="319"/>
      <c r="C1105" s="320" t="str">
        <f ca="1">IFERROR(BDP(MO.Ticker.Bloomberg&amp;" Equity","INTERVAL_HIGH","MARKET_DATA_OVERRIDE=PX_LAST","START_DATE_OVERRIDE",TEXT(INDEX(MO_SNA_FPStartDate,0,COLUMN()),"YYYYMMDD"),"END_DATE_OVERRIDE",TEXT(INDEX(MO_Common_QEndDate,0,COLUMN()),"YYYYMMDD")),"N/A")</f>
        <v>N/A</v>
      </c>
      <c r="D1105" s="320" t="str">
        <f ca="1">IFERROR(BDP(MO.Ticker.Bloomberg&amp;" Equity","INTERVAL_HIGH","MARKET_DATA_OVERRIDE=PX_LAST","START_DATE_OVERRIDE",TEXT(INDEX(MO_SNA_FPStartDate,0,COLUMN()),"YYYYMMDD"),"END_DATE_OVERRIDE",TEXT(INDEX(MO_Common_QEndDate,0,COLUMN()),"YYYYMMDD")),"N/A")</f>
        <v>N/A</v>
      </c>
      <c r="E1105" s="319" t="str">
        <f ca="1">IFERROR(BDP(MO.Ticker.Bloomberg&amp;" Equity","INTERVAL_HIGH","MARKET_DATA_OVERRIDE=PX_LAST","START_DATE_OVERRIDE",TEXT(INDEX(MO_SNA_FPStartDate,0,COLUMN()),"YYYYMMDD"),"END_DATE_OVERRIDE",TEXT(INDEX(MO_Common_QEndDate,0,COLUMN()),"YYYYMMDD")),"N/A")</f>
        <v>N/A</v>
      </c>
      <c r="F1105" s="319" t="str">
        <f ca="1">IFERROR(BDP(MO.Ticker.Bloomberg&amp;" Equity","INTERVAL_HIGH","MARKET_DATA_OVERRIDE=PX_LAST","START_DATE_OVERRIDE",TEXT(INDEX(MO_SNA_FPStartDate,0,COLUMN()),"YYYYMMDD"),"END_DATE_OVERRIDE",TEXT(INDEX(MO_Common_QEndDate,0,COLUMN()),"YYYYMMDD")),"N/A")</f>
        <v>N/A</v>
      </c>
      <c r="G1105" s="319" t="str">
        <f ca="1">IFERROR(BDP(MO.Ticker.Bloomberg&amp;" Equity","INTERVAL_HIGH","MARKET_DATA_OVERRIDE=PX_LAST","START_DATE_OVERRIDE",TEXT(INDEX(MO_SNA_FPStartDate,0,COLUMN()),"YYYYMMDD"),"END_DATE_OVERRIDE",TEXT(INDEX(MO_Common_QEndDate,0,COLUMN()),"YYYYMMDD")),"N/A")</f>
        <v>N/A</v>
      </c>
      <c r="H1105" s="319" t="str">
        <f ca="1">IFERROR(BDP(MO.Ticker.Bloomberg&amp;" Equity","INTERVAL_HIGH","MARKET_DATA_OVERRIDE=PX_LAST","START_DATE_OVERRIDE",TEXT(INDEX(MO_SNA_FPStartDate,0,COLUMN()),"YYYYMMDD"),"END_DATE_OVERRIDE",TEXT(INDEX(MO_Common_QEndDate,0,COLUMN()),"YYYYMMDD")),"N/A")</f>
        <v>N/A</v>
      </c>
      <c r="I1105" s="319" t="str">
        <f ca="1">IFERROR(BDP(MO.Ticker.Bloomberg&amp;" Equity","INTERVAL_HIGH","MARKET_DATA_OVERRIDE=PX_LAST","START_DATE_OVERRIDE",TEXT(INDEX(MO_SNA_FPStartDate,0,COLUMN()),"YYYYMMDD"),"END_DATE_OVERRIDE",TEXT(INDEX(MO_Common_QEndDate,0,COLUMN()),"YYYYMMDD")),"N/A")</f>
        <v>N/A</v>
      </c>
      <c r="J1105" s="319" t="str">
        <f ca="1">IFERROR(BDP(MO.Ticker.Bloomberg&amp;" Equity","INTERVAL_HIGH","MARKET_DATA_OVERRIDE=PX_LAST","START_DATE_OVERRIDE",TEXT(INDEX(MO_SNA_FPStartDate,0,COLUMN()),"YYYYMMDD"),"END_DATE_OVERRIDE",TEXT(INDEX(MO_Common_QEndDate,0,COLUMN()),"YYYYMMDD")),"N/A")</f>
        <v>N/A</v>
      </c>
      <c r="K1105" s="319" t="str">
        <f ca="1">IFERROR(BDP(MO.Ticker.Bloomberg&amp;" Equity","INTERVAL_HIGH","MARKET_DATA_OVERRIDE=PX_LAST","START_DATE_OVERRIDE",TEXT(INDEX(MO_SNA_FPStartDate,0,COLUMN()),"YYYYMMDD"),"END_DATE_OVERRIDE",TEXT(INDEX(MO_Common_QEndDate,0,COLUMN()),"YYYYMMDD")),"N/A")</f>
        <v>N/A</v>
      </c>
      <c r="L1105" s="319" t="str">
        <f ca="1">IFERROR(BDP(MO.Ticker.Bloomberg&amp;" Equity","INTERVAL_HIGH","MARKET_DATA_OVERRIDE=PX_LAST","START_DATE_OVERRIDE",TEXT(INDEX(MO_SNA_FPStartDate,0,COLUMN()),"YYYYMMDD"),"END_DATE_OVERRIDE",TEXT(INDEX(MO_Common_QEndDate,0,COLUMN()),"YYYYMMDD")),"N/A")</f>
        <v>N/A</v>
      </c>
      <c r="M1105" s="319" t="str">
        <f ca="1">IFERROR(BDP(MO.Ticker.Bloomberg&amp;" Equity","INTERVAL_HIGH","MARKET_DATA_OVERRIDE=PX_LAST","START_DATE_OVERRIDE",TEXT(INDEX(MO_SNA_FPStartDate,0,COLUMN()),"YYYYMMDD"),"END_DATE_OVERRIDE",TEXT(INDEX(MO_Common_QEndDate,0,COLUMN()),"YYYYMMDD")),"N/A")</f>
        <v>N/A</v>
      </c>
      <c r="N1105" s="319" t="str">
        <f ca="1">IFERROR(BDP(MO.Ticker.Bloomberg&amp;" Equity","INTERVAL_HIGH","MARKET_DATA_OVERRIDE=PX_LAST","START_DATE_OVERRIDE",TEXT(INDEX(MO_SNA_FPStartDate,0,COLUMN()),"YYYYMMDD"),"END_DATE_OVERRIDE",TEXT(INDEX(MO_Common_QEndDate,0,COLUMN()),"YYYYMMDD")),"N/A")</f>
        <v>N/A</v>
      </c>
      <c r="O1105" s="319" t="str">
        <f ca="1">IFERROR(BDP(MO.Ticker.Bloomberg&amp;" Equity","INTERVAL_HIGH","MARKET_DATA_OVERRIDE=PX_LAST","START_DATE_OVERRIDE",TEXT(INDEX(MO_SNA_FPStartDate,0,COLUMN()),"YYYYMMDD"),"END_DATE_OVERRIDE",TEXT(INDEX(MO_Common_QEndDate,0,COLUMN()),"YYYYMMDD")),"N/A")</f>
        <v>N/A</v>
      </c>
      <c r="P1105" s="319" t="str">
        <f ca="1">IFERROR(BDP(MO.Ticker.Bloomberg&amp;" Equity","INTERVAL_HIGH","MARKET_DATA_OVERRIDE=PX_LAST","START_DATE_OVERRIDE",TEXT(INDEX(MO_SNA_FPStartDate,0,COLUMN()),"YYYYMMDD"),"END_DATE_OVERRIDE",TEXT(INDEX(MO_Common_QEndDate,0,COLUMN()),"YYYYMMDD")),"N/A")</f>
        <v>N/A</v>
      </c>
      <c r="Q1105" s="319" t="str">
        <f ca="1">IFERROR(BDP(MO.Ticker.Bloomberg&amp;" Equity","INTERVAL_HIGH","MARKET_DATA_OVERRIDE=PX_LAST","START_DATE_OVERRIDE",TEXT(INDEX(MO_SNA_FPStartDate,0,COLUMN()),"YYYYMMDD"),"END_DATE_OVERRIDE",TEXT(INDEX(MO_Common_QEndDate,0,COLUMN()),"YYYYMMDD")),"N/A")</f>
        <v>N/A</v>
      </c>
      <c r="R1105" s="319" t="str">
        <f ca="1">IFERROR(BDP(MO.Ticker.Bloomberg&amp;" Equity","INTERVAL_HIGH","MARKET_DATA_OVERRIDE=PX_LAST","START_DATE_OVERRIDE",TEXT(INDEX(MO_SNA_FPStartDate,0,COLUMN()),"YYYYMMDD"),"END_DATE_OVERRIDE",TEXT(INDEX(MO_Common_QEndDate,0,COLUMN()),"YYYYMMDD")),"N/A")</f>
        <v>N/A</v>
      </c>
      <c r="S1105" s="319" t="str">
        <f ca="1">IFERROR(BDP(MO.Ticker.Bloomberg&amp;" Equity","INTERVAL_HIGH","MARKET_DATA_OVERRIDE=PX_LAST","START_DATE_OVERRIDE",TEXT(INDEX(MO_SNA_FPStartDate,0,COLUMN()),"YYYYMMDD"),"END_DATE_OVERRIDE",TEXT(INDEX(MO_Common_QEndDate,0,COLUMN()),"YYYYMMDD")),"N/A")</f>
        <v>N/A</v>
      </c>
      <c r="T1105" s="319" t="str">
        <f ca="1">IFERROR(BDP(MO.Ticker.Bloomberg&amp;" Equity","INTERVAL_HIGH","MARKET_DATA_OVERRIDE=PX_LAST","START_DATE_OVERRIDE",TEXT(INDEX(MO_SNA_FPStartDate,0,COLUMN()),"YYYYMMDD"),"END_DATE_OVERRIDE",TEXT(INDEX(MO_Common_QEndDate,0,COLUMN()),"YYYYMMDD")),"N/A")</f>
        <v>N/A</v>
      </c>
      <c r="U1105" s="319" t="str">
        <f ca="1">IFERROR(BDP(MO.Ticker.Bloomberg&amp;" Equity","INTERVAL_HIGH","MARKET_DATA_OVERRIDE=PX_LAST","START_DATE_OVERRIDE",TEXT(INDEX(MO_SNA_FPStartDate,0,COLUMN()),"YYYYMMDD"),"END_DATE_OVERRIDE",TEXT(INDEX(MO_Common_QEndDate,0,COLUMN()),"YYYYMMDD")),"N/A")</f>
        <v>N/A</v>
      </c>
      <c r="V1105" s="319" t="str">
        <f ca="1">IFERROR(BDP(MO.Ticker.Bloomberg&amp;" Equity","INTERVAL_HIGH","MARKET_DATA_OVERRIDE=PX_LAST","START_DATE_OVERRIDE",TEXT(INDEX(MO_SNA_FPStartDate,0,COLUMN()),"YYYYMMDD"),"END_DATE_OVERRIDE",TEXT(INDEX(MO_Common_QEndDate,0,COLUMN()),"YYYYMMDD")),"N/A")</f>
        <v>N/A</v>
      </c>
      <c r="W1105" s="319" t="str">
        <f ca="1">IFERROR(BDP(MO.Ticker.Bloomberg&amp;" Equity","INTERVAL_HIGH","MARKET_DATA_OVERRIDE=PX_LAST","START_DATE_OVERRIDE",TEXT(INDEX(MO_SNA_FPStartDate,0,COLUMN()),"YYYYMMDD"),"END_DATE_OVERRIDE",TEXT(INDEX(MO_Common_QEndDate,0,COLUMN()),"YYYYMMDD")),"N/A")</f>
        <v>N/A</v>
      </c>
      <c r="X1105" s="319" t="str">
        <f ca="1">IFERROR(BDP(MO.Ticker.Bloomberg&amp;" Equity","INTERVAL_HIGH","MARKET_DATA_OVERRIDE=PX_LAST","START_DATE_OVERRIDE",TEXT(INDEX(MO_SNA_FPStartDate,0,COLUMN()),"YYYYMMDD"),"END_DATE_OVERRIDE",TEXT(INDEX(MO_Common_QEndDate,0,COLUMN()),"YYYYMMDD")),"N/A")</f>
        <v>N/A</v>
      </c>
      <c r="Y1105" s="319" t="str">
        <f ca="1">IFERROR(BDP(MO.Ticker.Bloomberg&amp;" Equity","INTERVAL_HIGH","MARKET_DATA_OVERRIDE=PX_LAST","START_DATE_OVERRIDE",TEXT(INDEX(MO_SNA_FPStartDate,0,COLUMN()),"YYYYMMDD"),"END_DATE_OVERRIDE",TEXT(INDEX(MO_Common_QEndDate,0,COLUMN()),"YYYYMMDD")),"N/A")</f>
        <v>N/A</v>
      </c>
      <c r="Z1105" s="319" t="str">
        <f ca="1">IFERROR(BDP(MO.Ticker.Bloomberg&amp;" Equity","INTERVAL_HIGH","MARKET_DATA_OVERRIDE=PX_LAST","START_DATE_OVERRIDE",TEXT(INDEX(MO_SNA_FPStartDate,0,COLUMN()),"YYYYMMDD"),"END_DATE_OVERRIDE",TEXT(INDEX(MO_Common_QEndDate,0,COLUMN()),"YYYYMMDD")),"N/A")</f>
        <v>N/A</v>
      </c>
      <c r="AA1105" s="319" t="str">
        <f ca="1">IFERROR(BDP(MO.Ticker.Bloomberg&amp;" Equity","INTERVAL_HIGH","MARKET_DATA_OVERRIDE=PX_LAST","START_DATE_OVERRIDE",TEXT(INDEX(MO_SNA_FPStartDate,0,COLUMN()),"YYYYMMDD"),"END_DATE_OVERRIDE",TEXT(INDEX(MO_Common_QEndDate,0,COLUMN()),"YYYYMMDD")),"N/A")</f>
        <v>N/A</v>
      </c>
      <c r="AB1105" s="319" t="str">
        <f ca="1">IFERROR(BDP(MO.Ticker.Bloomberg&amp;" Equity","INTERVAL_HIGH","MARKET_DATA_OVERRIDE=PX_LAST","START_DATE_OVERRIDE",TEXT(INDEX(MO_SNA_FPStartDate,0,COLUMN()),"YYYYMMDD"),"END_DATE_OVERRIDE",TEXT(INDEX(MO_Common_QEndDate,0,COLUMN()),"YYYYMMDD")),"N/A")</f>
        <v>N/A</v>
      </c>
      <c r="AC1105" s="319" t="str">
        <f ca="1">IFERROR(BDP(MO.Ticker.Bloomberg&amp;" Equity","INTERVAL_HIGH","MARKET_DATA_OVERRIDE=PX_LAST","START_DATE_OVERRIDE",TEXT(INDEX(MO_SNA_FPStartDate,0,COLUMN()),"YYYYMMDD"),"END_DATE_OVERRIDE",TEXT(INDEX(MO_Common_QEndDate,0,COLUMN()),"YYYYMMDD")),"N/A")</f>
        <v>N/A</v>
      </c>
      <c r="AD1105" s="319" t="str">
        <f ca="1">IFERROR(BDP(MO.Ticker.Bloomberg&amp;" Equity","INTERVAL_HIGH","MARKET_DATA_OVERRIDE=PX_LAST","START_DATE_OVERRIDE",TEXT(INDEX(MO_SNA_FPStartDate,0,COLUMN()),"YYYYMMDD"),"END_DATE_OVERRIDE",TEXT(INDEX(MO_Common_QEndDate,0,COLUMN()),"YYYYMMDD")),"N/A")</f>
        <v>N/A</v>
      </c>
      <c r="AE1105" s="319" t="str">
        <f ca="1">IFERROR(BDP(MO.Ticker.Bloomberg&amp;" Equity","INTERVAL_HIGH","MARKET_DATA_OVERRIDE=PX_LAST","START_DATE_OVERRIDE",TEXT(INDEX(MO_SNA_FPStartDate,0,COLUMN()),"YYYYMMDD"),"END_DATE_OVERRIDE",TEXT(INDEX(MO_Common_QEndDate,0,COLUMN()),"YYYYMMDD")),"N/A")</f>
        <v>N/A</v>
      </c>
      <c r="AF1105" s="319" t="str">
        <f ca="1">IFERROR(BDP(MO.Ticker.Bloomberg&amp;" Equity","INTERVAL_HIGH","MARKET_DATA_OVERRIDE=PX_LAST","START_DATE_OVERRIDE",TEXT(INDEX(MO_SNA_FPStartDate,0,COLUMN()),"YYYYMMDD"),"END_DATE_OVERRIDE",TEXT(INDEX(MO_Common_QEndDate,0,COLUMN()),"YYYYMMDD")),"N/A")</f>
        <v>N/A</v>
      </c>
      <c r="AG1105" s="319" t="str">
        <f ca="1">IFERROR(BDP(MO.Ticker.Bloomberg&amp;" Equity","INTERVAL_HIGH","MARKET_DATA_OVERRIDE=PX_LAST","START_DATE_OVERRIDE",TEXT(INDEX(MO_SNA_FPStartDate,0,COLUMN()),"YYYYMMDD"),"END_DATE_OVERRIDE",TEXT(INDEX(MO_Common_QEndDate,0,COLUMN()),"YYYYMMDD")),"N/A")</f>
        <v>N/A</v>
      </c>
      <c r="AH1105" s="319" t="str">
        <f ca="1">IFERROR(BDP(MO.Ticker.Bloomberg&amp;" Equity","INTERVAL_HIGH","MARKET_DATA_OVERRIDE=PX_LAST","START_DATE_OVERRIDE",TEXT(INDEX(MO_SNA_FPStartDate,0,COLUMN()),"YYYYMMDD"),"END_DATE_OVERRIDE",TEXT(INDEX(MO_Common_QEndDate,0,COLUMN()),"YYYYMMDD")),"N/A")</f>
        <v>N/A</v>
      </c>
      <c r="AI1105" s="319" t="str">
        <f ca="1">IFERROR(BDP(MO.Ticker.Bloomberg&amp;" Equity","INTERVAL_HIGH","MARKET_DATA_OVERRIDE=PX_LAST","START_DATE_OVERRIDE",TEXT(INDEX(MO_SNA_FPStartDate,0,COLUMN()),"YYYYMMDD"),"END_DATE_OVERRIDE",TEXT(INDEX(MO_Common_QEndDate,0,COLUMN()),"YYYYMMDD")),"N/A")</f>
        <v>N/A</v>
      </c>
      <c r="AJ1105" s="319" t="str">
        <f ca="1">IFERROR(BDP(MO.Ticker.Bloomberg&amp;" Equity","INTERVAL_HIGH","MARKET_DATA_OVERRIDE=PX_LAST","START_DATE_OVERRIDE",TEXT(INDEX(MO_SNA_FPStartDate,0,COLUMN()),"YYYYMMDD"),"END_DATE_OVERRIDE",TEXT(INDEX(MO_Common_QEndDate,0,COLUMN()),"YYYYMMDD")),"N/A")</f>
        <v>N/A</v>
      </c>
      <c r="AK1105" s="319" t="str">
        <f ca="1">IFERROR(BDP(MO.Ticker.Bloomberg&amp;" Equity","INTERVAL_HIGH","MARKET_DATA_OVERRIDE=PX_LAST","START_DATE_OVERRIDE",TEXT(INDEX(MO_SNA_FPStartDate,0,COLUMN()),"YYYYMMDD"),"END_DATE_OVERRIDE",TEXT(INDEX(MO_Common_QEndDate,0,COLUMN()),"YYYYMMDD")),"N/A")</f>
        <v>N/A</v>
      </c>
      <c r="AL1105" s="319" t="str">
        <f ca="1">IFERROR(BDP(MO.Ticker.Bloomberg&amp;" Equity","INTERVAL_HIGH","MARKET_DATA_OVERRIDE=PX_LAST","START_DATE_OVERRIDE",TEXT(INDEX(MO_SNA_FPStartDate,0,COLUMN()),"YYYYMMDD"),"END_DATE_OVERRIDE",TEXT(INDEX(MO_Common_QEndDate,0,COLUMN()),"YYYYMMDD")),"N/A")</f>
        <v>N/A</v>
      </c>
      <c r="AM1105" s="319" t="str">
        <f ca="1">IFERROR(BDP(MO.Ticker.Bloomberg&amp;" Equity","INTERVAL_HIGH","MARKET_DATA_OVERRIDE=PX_LAST","START_DATE_OVERRIDE",TEXT(INDEX(MO_SNA_FPStartDate,0,COLUMN()),"YYYYMMDD"),"END_DATE_OVERRIDE",TEXT(INDEX(MO_Common_QEndDate,0,COLUMN()),"YYYYMMDD")),"N/A")</f>
        <v>N/A</v>
      </c>
      <c r="AN1105" s="319" t="str">
        <f ca="1">IFERROR(BDP(MO.Ticker.Bloomberg&amp;" Equity","INTERVAL_HIGH","MARKET_DATA_OVERRIDE=PX_LAST","START_DATE_OVERRIDE",TEXT(INDEX(MO_SNA_FPStartDate,0,COLUMN()),"YYYYMMDD"),"END_DATE_OVERRIDE",TEXT(INDEX(MO_Common_QEndDate,0,COLUMN()),"YYYYMMDD")),"N/A")</f>
        <v>N/A</v>
      </c>
      <c r="AO1105" s="319" t="str">
        <f ca="1">IFERROR(BDP(MO.Ticker.Bloomberg&amp;" Equity","INTERVAL_HIGH","MARKET_DATA_OVERRIDE=PX_LAST","START_DATE_OVERRIDE",TEXT(INDEX(MO_SNA_FPStartDate,0,COLUMN()),"YYYYMMDD"),"END_DATE_OVERRIDE",TEXT(INDEX(MO_Common_QEndDate,0,COLUMN()),"YYYYMMDD")),"N/A")</f>
        <v>N/A</v>
      </c>
      <c r="AP1105" s="319" t="str">
        <f ca="1">IFERROR(BDP(MO.Ticker.Bloomberg&amp;" Equity","INTERVAL_HIGH","MARKET_DATA_OVERRIDE=PX_LAST","START_DATE_OVERRIDE",TEXT(INDEX(MO_SNA_FPStartDate,0,COLUMN()),"YYYYMMDD"),"END_DATE_OVERRIDE",TEXT(INDEX(MO_Common_QEndDate,0,COLUMN()),"YYYYMMDD")),"N/A")</f>
        <v>N/A</v>
      </c>
      <c r="AQ1105" s="319" t="str">
        <f ca="1">IFERROR(BDP(MO.Ticker.Bloomberg&amp;" Equity","INTERVAL_HIGH","MARKET_DATA_OVERRIDE=PX_LAST","START_DATE_OVERRIDE",TEXT(INDEX(MO_SNA_FPStartDate,0,COLUMN()),"YYYYMMDD"),"END_DATE_OVERRIDE",TEXT(INDEX(MO_Common_QEndDate,0,COLUMN()),"YYYYMMDD")),"N/A")</f>
        <v>N/A</v>
      </c>
      <c r="AR1105" s="319" t="str">
        <f ca="1">IFERROR(BDP(MO.Ticker.Bloomberg&amp;" Equity","INTERVAL_HIGH","MARKET_DATA_OVERRIDE=PX_LAST","START_DATE_OVERRIDE",TEXT(INDEX(MO_SNA_FPStartDate,0,COLUMN()),"YYYYMMDD"),"END_DATE_OVERRIDE",TEXT(INDEX(MO_Common_QEndDate,0,COLUMN()),"YYYYMMDD")),"N/A")</f>
        <v>N/A</v>
      </c>
      <c r="AS1105" s="319" t="str">
        <f ca="1">IFERROR(BDP(MO.Ticker.Bloomberg&amp;" Equity","INTERVAL_HIGH","MARKET_DATA_OVERRIDE=PX_LAST","START_DATE_OVERRIDE",TEXT(INDEX(MO_SNA_FPStartDate,0,COLUMN()),"YYYYMMDD"),"END_DATE_OVERRIDE",TEXT(INDEX(MO_Common_QEndDate,0,COLUMN()),"YYYYMMDD")),"N/A")</f>
        <v>N/A</v>
      </c>
      <c r="AT1105" s="319" t="str">
        <f ca="1">IFERROR(BDP(MO.Ticker.Bloomberg&amp;" Equity","INTERVAL_HIGH","MARKET_DATA_OVERRIDE=PX_LAST","START_DATE_OVERRIDE",TEXT(INDEX(MO_SNA_FPStartDate,0,COLUMN()),"YYYYMMDD"),"END_DATE_OVERRIDE",TEXT(INDEX(MO_Common_QEndDate,0,COLUMN()),"YYYYMMDD")),"N/A")</f>
        <v>N/A</v>
      </c>
      <c r="AU1105" s="319" t="str">
        <f ca="1">IFERROR(BDP(MO.Ticker.Bloomberg&amp;" Equity","INTERVAL_HIGH","MARKET_DATA_OVERRIDE=PX_LAST","START_DATE_OVERRIDE",TEXT(INDEX(MO_SNA_FPStartDate,0,COLUMN()),"YYYYMMDD"),"END_DATE_OVERRIDE",TEXT(INDEX(MO_Common_QEndDate,0,COLUMN()),"YYYYMMDD")),"N/A")</f>
        <v>N/A</v>
      </c>
      <c r="AV1105" s="319" t="str">
        <f ca="1">IFERROR(BDP(MO.Ticker.Bloomberg&amp;" Equity","INTERVAL_HIGH","MARKET_DATA_OVERRIDE=PX_LAST","START_DATE_OVERRIDE",TEXT(INDEX(MO_SNA_FPStartDate,0,COLUMN()),"YYYYMMDD"),"END_DATE_OVERRIDE",TEXT(INDEX(MO_Common_QEndDate,0,COLUMN()),"YYYYMMDD")),"N/A")</f>
        <v>N/A</v>
      </c>
      <c r="AW1105" s="319" t="str">
        <f ca="1">IFERROR(BDP(MO.Ticker.Bloomberg&amp;" Equity","INTERVAL_HIGH","MARKET_DATA_OVERRIDE=PX_LAST","START_DATE_OVERRIDE",TEXT(INDEX(MO_SNA_FPStartDate,0,COLUMN()),"YYYYMMDD"),"END_DATE_OVERRIDE",TEXT(INDEX(MO_Common_QEndDate,0,COLUMN()),"YYYYMMDD")),"N/A")</f>
        <v>N/A</v>
      </c>
      <c r="AX1105" s="319" t="str">
        <f ca="1">IFERROR(BDP(MO.Ticker.Bloomberg&amp;" Equity","INTERVAL_HIGH","MARKET_DATA_OVERRIDE=PX_LAST","START_DATE_OVERRIDE",TEXT(INDEX(MO_SNA_FPStartDate,0,COLUMN()),"YYYYMMDD"),"END_DATE_OVERRIDE",TEXT(INDEX(MO_Common_QEndDate,0,COLUMN()),"YYYYMMDD")),"N/A")</f>
        <v>N/A</v>
      </c>
      <c r="AY1105" s="319" t="str">
        <f ca="1">IFERROR(BDP(MO.Ticker.Bloomberg&amp;" Equity","INTERVAL_HIGH","MARKET_DATA_OVERRIDE=PX_LAST","START_DATE_OVERRIDE",TEXT(INDEX(MO_SNA_FPStartDate,0,COLUMN()),"YYYYMMDD"),"END_DATE_OVERRIDE",TEXT(INDEX(MO_Common_QEndDate,0,COLUMN()),"YYYYMMDD")),"N/A")</f>
        <v>N/A</v>
      </c>
      <c r="AZ1105" s="319" t="str">
        <f ca="1">IFERROR(BDP(MO.Ticker.Bloomberg&amp;" Equity","INTERVAL_HIGH","MARKET_DATA_OVERRIDE=PX_LAST","START_DATE_OVERRIDE",TEXT(INDEX(MO_SNA_FPStartDate,0,COLUMN()),"YYYYMMDD"),"END_DATE_OVERRIDE",TEXT(INDEX(MO_Common_QEndDate,0,COLUMN()),"YYYYMMDD")),"N/A")</f>
        <v>N/A</v>
      </c>
      <c r="BA1105" s="319" t="str">
        <f ca="1">IFERROR(BDP(MO.Ticker.Bloomberg&amp;" Equity","INTERVAL_HIGH","MARKET_DATA_OVERRIDE=PX_LAST","START_DATE_OVERRIDE",TEXT(INDEX(MO_SNA_FPStartDate,0,COLUMN()),"YYYYMMDD"),"END_DATE_OVERRIDE",TEXT(INDEX(MO_Common_QEndDate,0,COLUMN()),"YYYYMMDD")),"N/A")</f>
        <v>N/A</v>
      </c>
      <c r="BB1105" s="319" t="str">
        <f ca="1">IFERROR(BDP(MO.Ticker.Bloomberg&amp;" Equity","INTERVAL_HIGH","MARKET_DATA_OVERRIDE=PX_LAST","START_DATE_OVERRIDE",TEXT(INDEX(MO_SNA_FPStartDate,0,COLUMN()),"YYYYMMDD"),"END_DATE_OVERRIDE",TEXT(INDEX(MO_Common_QEndDate,0,COLUMN()),"YYYYMMDD")),"N/A")</f>
        <v>N/A</v>
      </c>
      <c r="BC1105" s="319" t="str">
        <f ca="1">IFERROR(BDP(MO.Ticker.Bloomberg&amp;" Equity","INTERVAL_HIGH","MARKET_DATA_OVERRIDE=PX_LAST","START_DATE_OVERRIDE",TEXT(INDEX(MO_SNA_FPStartDate,0,COLUMN()),"YYYYMMDD"),"END_DATE_OVERRIDE",TEXT(INDEX(MO_Common_QEndDate,0,COLUMN()),"YYYYMMDD")),"N/A")</f>
        <v>N/A</v>
      </c>
      <c r="BD1105" s="319" t="str">
        <f ca="1">IFERROR(BDP(MO.Ticker.Bloomberg&amp;" Equity","INTERVAL_HIGH","MARKET_DATA_OVERRIDE=PX_LAST","START_DATE_OVERRIDE",TEXT(INDEX(MO_SNA_FPStartDate,0,COLUMN()),"YYYYMMDD"),"END_DATE_OVERRIDE",TEXT(INDEX(MO_Common_QEndDate,0,COLUMN()),"YYYYMMDD")),"N/A")</f>
        <v>N/A</v>
      </c>
      <c r="BE1105" s="319" t="str">
        <f ca="1">IFERROR(BDP(MO.Ticker.Bloomberg&amp;" Equity","INTERVAL_HIGH","MARKET_DATA_OVERRIDE=PX_LAST","START_DATE_OVERRIDE",TEXT(INDEX(MO_SNA_FPStartDate,0,COLUMN()),"YYYYMMDD"),"END_DATE_OVERRIDE",TEXT(INDEX(MO_Common_QEndDate,0,COLUMN()),"YYYYMMDD")),"N/A")</f>
        <v>N/A</v>
      </c>
      <c r="BF1105" s="319" t="str">
        <f ca="1">IFERROR(BDP(MO.Ticker.Bloomberg&amp;" Equity","INTERVAL_HIGH","MARKET_DATA_OVERRIDE=PX_LAST","START_DATE_OVERRIDE",TEXT(INDEX(MO_SNA_FPStartDate,0,COLUMN()),"YYYYMMDD"),"END_DATE_OVERRIDE",TEXT(INDEX(MO_Common_QEndDate,0,COLUMN()),"YYYYMMDD")),"N/A")</f>
        <v>N/A</v>
      </c>
      <c r="BG1105" s="319" t="str">
        <f ca="1">IFERROR(BDP(MO.Ticker.Bloomberg&amp;" Equity","INTERVAL_HIGH","MARKET_DATA_OVERRIDE=PX_LAST","START_DATE_OVERRIDE",TEXT(INDEX(MO_SNA_FPStartDate,0,COLUMN()),"YYYYMMDD"),"END_DATE_OVERRIDE",TEXT(INDEX(MO_Common_QEndDate,0,COLUMN()),"YYYYMMDD")),"N/A")</f>
        <v>N/A</v>
      </c>
      <c r="BH1105" s="454" t="str">
        <f ca="1">IFERROR(BDP(MO.Ticker.Bloomberg&amp;" Equity","INTERVAL_HIGH","MARKET_DATA_OVERRIDE=PX_LAST","START_DATE_OVERRIDE",TEXT(INDEX(MO_SNA_FPStartDate,0,COLUMN()),"YYYYMMDD"),"END_DATE_OVERRIDE",TEXT(INDEX(MO_Common_QEndDate,0,COLUMN()),"YYYYMMDD")),"N/A")</f>
        <v>N/A</v>
      </c>
      <c r="BI1105" s="319" t="str">
        <f ca="1">IFERROR(BDP(MO.Ticker.Bloomberg&amp;" Equity","INTERVAL_HIGH","MARKET_DATA_OVERRIDE=PX_LAST","START_DATE_OVERRIDE",TEXT(INDEX(MO_SNA_FPStartDate,0,COLUMN()),"YYYYMMDD"),"END_DATE_OVERRIDE",TEXT(INDEX(MO_Common_QEndDate,0,COLUMN()),"YYYYMMDD")),"N/A")</f>
        <v>N/A</v>
      </c>
      <c r="BJ1105" s="319" t="str">
        <f ca="1">IFERROR(BDP(MO.Ticker.Bloomberg&amp;" Equity","INTERVAL_HIGH","MARKET_DATA_OVERRIDE=PX_LAST","START_DATE_OVERRIDE",TEXT(INDEX(MO_SNA_FPStartDate,0,COLUMN()),"YYYYMMDD"),"END_DATE_OVERRIDE",TEXT(INDEX(MO_Common_QEndDate,0,COLUMN()),"YYYYMMDD")),"N/A")</f>
        <v>N/A</v>
      </c>
      <c r="BK1105" s="319" t="str">
        <f ca="1">IFERROR(BDP(MO.Ticker.Bloomberg&amp;" Equity","INTERVAL_HIGH","MARKET_DATA_OVERRIDE=PX_LAST","START_DATE_OVERRIDE",TEXT(INDEX(MO_SNA_FPStartDate,0,COLUMN()),"YYYYMMDD"),"END_DATE_OVERRIDE",TEXT(INDEX(MO_Common_QEndDate,0,COLUMN()),"YYYYMMDD")),"N/A")</f>
        <v>N/A</v>
      </c>
      <c r="BL1105" s="319" t="str">
        <f ca="1">IFERROR(BDP(MO.Ticker.Bloomberg&amp;" Equity","INTERVAL_HIGH","MARKET_DATA_OVERRIDE=PX_LAST","START_DATE_OVERRIDE",TEXT(INDEX(MO_SNA_FPStartDate,0,COLUMN()),"YYYYMMDD"),"END_DATE_OVERRIDE",TEXT(INDEX(MO_Common_QEndDate,0,COLUMN()),"YYYYMMDD")),"N/A")</f>
        <v>N/A</v>
      </c>
      <c r="BM1105" s="319" t="str">
        <f ca="1">IFERROR(BDP(MO.Ticker.Bloomberg&amp;" Equity","INTERVAL_HIGH","MARKET_DATA_OVERRIDE=PX_LAST","START_DATE_OVERRIDE",TEXT(INDEX(MO_SNA_FPStartDate,0,COLUMN()),"YYYYMMDD"),"END_DATE_OVERRIDE",TEXT(INDEX(MO_Common_QEndDate,0,COLUMN()),"YYYYMMDD")),"N/A")</f>
        <v>N/A</v>
      </c>
      <c r="BN1105" s="319" t="str">
        <f ca="1">IFERROR(BDP(MO.Ticker.Bloomberg&amp;" Equity","INTERVAL_HIGH","MARKET_DATA_OVERRIDE=PX_LAST","START_DATE_OVERRIDE",TEXT(INDEX(MO_SNA_FPStartDate,0,COLUMN()),"YYYYMMDD"),"END_DATE_OVERRIDE",TEXT(INDEX(MO_Common_QEndDate,0,COLUMN()),"YYYYMMDD")),"N/A")</f>
        <v>N/A</v>
      </c>
      <c r="BO1105" s="319" t="str">
        <f ca="1">IFERROR(BDP(MO.Ticker.Bloomberg&amp;" Equity","INTERVAL_HIGH","MARKET_DATA_OVERRIDE=PX_LAST","START_DATE_OVERRIDE",TEXT(INDEX(MO_SNA_FPStartDate,0,COLUMN()),"YYYYMMDD"),"END_DATE_OVERRIDE",TEXT(INDEX(MO_Common_QEndDate,0,COLUMN()),"YYYYMMDD")),"N/A")</f>
        <v>N/A</v>
      </c>
      <c r="BP1105" s="319" t="str">
        <f ca="1">IFERROR(BDP(MO.Ticker.Bloomberg&amp;" Equity","INTERVAL_HIGH","MARKET_DATA_OVERRIDE=PX_LAST","START_DATE_OVERRIDE",TEXT(INDEX(MO_SNA_FPStartDate,0,COLUMN()),"YYYYMMDD"),"END_DATE_OVERRIDE",TEXT(INDEX(MO_Common_QEndDate,0,COLUMN()),"YYYYMMDD")),"N/A")</f>
        <v>N/A</v>
      </c>
      <c r="BQ1105" s="319" t="str">
        <f ca="1">IFERROR(BDP(MO.Ticker.Bloomberg&amp;" Equity","INTERVAL_HIGH","MARKET_DATA_OVERRIDE=PX_LAST","START_DATE_OVERRIDE",TEXT(INDEX(MO_SNA_FPStartDate,0,COLUMN()),"YYYYMMDD"),"END_DATE_OVERRIDE",TEXT(INDEX(MO_Common_QEndDate,0,COLUMN()),"YYYYMMDD")),"N/A")</f>
        <v>N/A</v>
      </c>
      <c r="BR1105" s="321" t="str">
        <f ca="1">IFERROR(BDP(MO.Ticker.Bloomberg&amp;" Equity","INTERVAL_HIGH","MARKET_DATA_OVERRIDE=PX_LAST","START_DATE_OVERRIDE",TEXT(INDEX(MO_SNA_FPStartDate,0,COLUMN()),"YYYYMMDD"),"END_DATE_OVERRIDE",TEXT(INDEX(MO_Common_QEndDate,0,COLUMN()),"YYYYMMDD")),"N/A")</f>
        <v>N/A</v>
      </c>
      <c r="BS1105" s="355"/>
    </row>
    <row r="1106" spans="1:71" s="322" customFormat="1" ht="15" hidden="1" outlineLevel="1">
      <c r="A1106" s="323" t="s">
        <v>243</v>
      </c>
      <c r="B1106" s="319"/>
      <c r="C1106" s="320" t="str">
        <f ca="1">IFERROR(CIQHI(MO.Ticker.CapIQ,"IQ_LASTSALEPRICE",INDEX(MO_SNA_FPStartDate,0,COLUMN()),INDEX(MO_Common_QEndDate,0,COLUMN())),"N/A")</f>
        <v>N/A</v>
      </c>
      <c r="D1106" s="320" t="str">
        <f ca="1">IFERROR(CIQHI(MO.Ticker.CapIQ,"IQ_LASTSALEPRICE",INDEX(MO_SNA_FPStartDate,0,COLUMN()),INDEX(MO_Common_QEndDate,0,COLUMN())),"N/A")</f>
        <v>N/A</v>
      </c>
      <c r="E1106" s="319" t="str">
        <f ca="1">IFERROR(CIQHI(MO.Ticker.CapIQ,"IQ_LASTSALEPRICE",INDEX(MO_SNA_FPStartDate,0,COLUMN()),INDEX(MO_Common_QEndDate,0,COLUMN())),"N/A")</f>
        <v>N/A</v>
      </c>
      <c r="F1106" s="319" t="str">
        <f ca="1">IFERROR(CIQHI(MO.Ticker.CapIQ,"IQ_LASTSALEPRICE",INDEX(MO_SNA_FPStartDate,0,COLUMN()),INDEX(MO_Common_QEndDate,0,COLUMN())),"N/A")</f>
        <v>N/A</v>
      </c>
      <c r="G1106" s="319" t="str">
        <f ca="1">IFERROR(CIQHI(MO.Ticker.CapIQ,"IQ_LASTSALEPRICE",INDEX(MO_SNA_FPStartDate,0,COLUMN()),INDEX(MO_Common_QEndDate,0,COLUMN())),"N/A")</f>
        <v>N/A</v>
      </c>
      <c r="H1106" s="319" t="str">
        <f ca="1">IFERROR(CIQHI(MO.Ticker.CapIQ,"IQ_LASTSALEPRICE",INDEX(MO_SNA_FPStartDate,0,COLUMN()),INDEX(MO_Common_QEndDate,0,COLUMN())),"N/A")</f>
        <v>N/A</v>
      </c>
      <c r="I1106" s="319" t="str">
        <f ca="1">IFERROR(CIQHI(MO.Ticker.CapIQ,"IQ_LASTSALEPRICE",INDEX(MO_SNA_FPStartDate,0,COLUMN()),INDEX(MO_Common_QEndDate,0,COLUMN())),"N/A")</f>
        <v>N/A</v>
      </c>
      <c r="J1106" s="319" t="str">
        <f ca="1">IFERROR(CIQHI(MO.Ticker.CapIQ,"IQ_LASTSALEPRICE",INDEX(MO_SNA_FPStartDate,0,COLUMN()),INDEX(MO_Common_QEndDate,0,COLUMN())),"N/A")</f>
        <v>N/A</v>
      </c>
      <c r="K1106" s="319" t="str">
        <f ca="1">IFERROR(CIQHI(MO.Ticker.CapIQ,"IQ_LASTSALEPRICE",INDEX(MO_SNA_FPStartDate,0,COLUMN()),INDEX(MO_Common_QEndDate,0,COLUMN())),"N/A")</f>
        <v>N/A</v>
      </c>
      <c r="L1106" s="319" t="str">
        <f ca="1">IFERROR(CIQHI(MO.Ticker.CapIQ,"IQ_LASTSALEPRICE",INDEX(MO_SNA_FPStartDate,0,COLUMN()),INDEX(MO_Common_QEndDate,0,COLUMN())),"N/A")</f>
        <v>N/A</v>
      </c>
      <c r="M1106" s="319" t="str">
        <f ca="1">IFERROR(CIQHI(MO.Ticker.CapIQ,"IQ_LASTSALEPRICE",INDEX(MO_SNA_FPStartDate,0,COLUMN()),INDEX(MO_Common_QEndDate,0,COLUMN())),"N/A")</f>
        <v>N/A</v>
      </c>
      <c r="N1106" s="319" t="str">
        <f ca="1">IFERROR(CIQHI(MO.Ticker.CapIQ,"IQ_LASTSALEPRICE",INDEX(MO_SNA_FPStartDate,0,COLUMN()),INDEX(MO_Common_QEndDate,0,COLUMN())),"N/A")</f>
        <v>N/A</v>
      </c>
      <c r="O1106" s="319" t="str">
        <f ca="1">IFERROR(CIQHI(MO.Ticker.CapIQ,"IQ_LASTSALEPRICE",INDEX(MO_SNA_FPStartDate,0,COLUMN()),INDEX(MO_Common_QEndDate,0,COLUMN())),"N/A")</f>
        <v>N/A</v>
      </c>
      <c r="P1106" s="319" t="str">
        <f ca="1">IFERROR(CIQHI(MO.Ticker.CapIQ,"IQ_LASTSALEPRICE",INDEX(MO_SNA_FPStartDate,0,COLUMN()),INDEX(MO_Common_QEndDate,0,COLUMN())),"N/A")</f>
        <v>N/A</v>
      </c>
      <c r="Q1106" s="319" t="str">
        <f ca="1">IFERROR(CIQHI(MO.Ticker.CapIQ,"IQ_LASTSALEPRICE",INDEX(MO_SNA_FPStartDate,0,COLUMN()),INDEX(MO_Common_QEndDate,0,COLUMN())),"N/A")</f>
        <v>N/A</v>
      </c>
      <c r="R1106" s="319" t="str">
        <f ca="1">IFERROR(CIQHI(MO.Ticker.CapIQ,"IQ_LASTSALEPRICE",INDEX(MO_SNA_FPStartDate,0,COLUMN()),INDEX(MO_Common_QEndDate,0,COLUMN())),"N/A")</f>
        <v>N/A</v>
      </c>
      <c r="S1106" s="319" t="str">
        <f ca="1">IFERROR(CIQHI(MO.Ticker.CapIQ,"IQ_LASTSALEPRICE",INDEX(MO_SNA_FPStartDate,0,COLUMN()),INDEX(MO_Common_QEndDate,0,COLUMN())),"N/A")</f>
        <v>N/A</v>
      </c>
      <c r="T1106" s="319" t="str">
        <f ca="1">IFERROR(CIQHI(MO.Ticker.CapIQ,"IQ_LASTSALEPRICE",INDEX(MO_SNA_FPStartDate,0,COLUMN()),INDEX(MO_Common_QEndDate,0,COLUMN())),"N/A")</f>
        <v>N/A</v>
      </c>
      <c r="U1106" s="319" t="str">
        <f ca="1">IFERROR(CIQHI(MO.Ticker.CapIQ,"IQ_LASTSALEPRICE",INDEX(MO_SNA_FPStartDate,0,COLUMN()),INDEX(MO_Common_QEndDate,0,COLUMN())),"N/A")</f>
        <v>N/A</v>
      </c>
      <c r="V1106" s="319" t="str">
        <f ca="1">IFERROR(CIQHI(MO.Ticker.CapIQ,"IQ_LASTSALEPRICE",INDEX(MO_SNA_FPStartDate,0,COLUMN()),INDEX(MO_Common_QEndDate,0,COLUMN())),"N/A")</f>
        <v>N/A</v>
      </c>
      <c r="W1106" s="319" t="str">
        <f ca="1">IFERROR(CIQHI(MO.Ticker.CapIQ,"IQ_LASTSALEPRICE",INDEX(MO_SNA_FPStartDate,0,COLUMN()),INDEX(MO_Common_QEndDate,0,COLUMN())),"N/A")</f>
        <v>N/A</v>
      </c>
      <c r="X1106" s="319" t="str">
        <f ca="1">IFERROR(CIQHI(MO.Ticker.CapIQ,"IQ_LASTSALEPRICE",INDEX(MO_SNA_FPStartDate,0,COLUMN()),INDEX(MO_Common_QEndDate,0,COLUMN())),"N/A")</f>
        <v>N/A</v>
      </c>
      <c r="Y1106" s="319" t="str">
        <f ca="1">IFERROR(CIQHI(MO.Ticker.CapIQ,"IQ_LASTSALEPRICE",INDEX(MO_SNA_FPStartDate,0,COLUMN()),INDEX(MO_Common_QEndDate,0,COLUMN())),"N/A")</f>
        <v>N/A</v>
      </c>
      <c r="Z1106" s="319" t="str">
        <f ca="1">IFERROR(CIQHI(MO.Ticker.CapIQ,"IQ_LASTSALEPRICE",INDEX(MO_SNA_FPStartDate,0,COLUMN()),INDEX(MO_Common_QEndDate,0,COLUMN())),"N/A")</f>
        <v>N/A</v>
      </c>
      <c r="AA1106" s="319" t="str">
        <f ca="1">IFERROR(CIQHI(MO.Ticker.CapIQ,"IQ_LASTSALEPRICE",INDEX(MO_SNA_FPStartDate,0,COLUMN()),INDEX(MO_Common_QEndDate,0,COLUMN())),"N/A")</f>
        <v>N/A</v>
      </c>
      <c r="AB1106" s="319" t="str">
        <f ca="1">IFERROR(CIQHI(MO.Ticker.CapIQ,"IQ_LASTSALEPRICE",INDEX(MO_SNA_FPStartDate,0,COLUMN()),INDEX(MO_Common_QEndDate,0,COLUMN())),"N/A")</f>
        <v>N/A</v>
      </c>
      <c r="AC1106" s="319" t="str">
        <f ca="1">IFERROR(CIQHI(MO.Ticker.CapIQ,"IQ_LASTSALEPRICE",INDEX(MO_SNA_FPStartDate,0,COLUMN()),INDEX(MO_Common_QEndDate,0,COLUMN())),"N/A")</f>
        <v>N/A</v>
      </c>
      <c r="AD1106" s="319" t="str">
        <f ca="1">IFERROR(CIQHI(MO.Ticker.CapIQ,"IQ_LASTSALEPRICE",INDEX(MO_SNA_FPStartDate,0,COLUMN()),INDEX(MO_Common_QEndDate,0,COLUMN())),"N/A")</f>
        <v>N/A</v>
      </c>
      <c r="AE1106" s="319" t="str">
        <f ca="1">IFERROR(CIQHI(MO.Ticker.CapIQ,"IQ_LASTSALEPRICE",INDEX(MO_SNA_FPStartDate,0,COLUMN()),INDEX(MO_Common_QEndDate,0,COLUMN())),"N/A")</f>
        <v>N/A</v>
      </c>
      <c r="AF1106" s="319" t="str">
        <f ca="1">IFERROR(CIQHI(MO.Ticker.CapIQ,"IQ_LASTSALEPRICE",INDEX(MO_SNA_FPStartDate,0,COLUMN()),INDEX(MO_Common_QEndDate,0,COLUMN())),"N/A")</f>
        <v>N/A</v>
      </c>
      <c r="AG1106" s="319" t="str">
        <f ca="1">IFERROR(CIQHI(MO.Ticker.CapIQ,"IQ_LASTSALEPRICE",INDEX(MO_SNA_FPStartDate,0,COLUMN()),INDEX(MO_Common_QEndDate,0,COLUMN())),"N/A")</f>
        <v>N/A</v>
      </c>
      <c r="AH1106" s="319" t="str">
        <f ca="1">IFERROR(CIQHI(MO.Ticker.CapIQ,"IQ_LASTSALEPRICE",INDEX(MO_SNA_FPStartDate,0,COLUMN()),INDEX(MO_Common_QEndDate,0,COLUMN())),"N/A")</f>
        <v>N/A</v>
      </c>
      <c r="AI1106" s="319" t="str">
        <f ca="1">IFERROR(CIQHI(MO.Ticker.CapIQ,"IQ_LASTSALEPRICE",INDEX(MO_SNA_FPStartDate,0,COLUMN()),INDEX(MO_Common_QEndDate,0,COLUMN())),"N/A")</f>
        <v>N/A</v>
      </c>
      <c r="AJ1106" s="319" t="str">
        <f ca="1">IFERROR(CIQHI(MO.Ticker.CapIQ,"IQ_LASTSALEPRICE",INDEX(MO_SNA_FPStartDate,0,COLUMN()),INDEX(MO_Common_QEndDate,0,COLUMN())),"N/A")</f>
        <v>N/A</v>
      </c>
      <c r="AK1106" s="319" t="str">
        <f ca="1">IFERROR(CIQHI(MO.Ticker.CapIQ,"IQ_LASTSALEPRICE",INDEX(MO_SNA_FPStartDate,0,COLUMN()),INDEX(MO_Common_QEndDate,0,COLUMN())),"N/A")</f>
        <v>N/A</v>
      </c>
      <c r="AL1106" s="319" t="str">
        <f ca="1">IFERROR(CIQHI(MO.Ticker.CapIQ,"IQ_LASTSALEPRICE",INDEX(MO_SNA_FPStartDate,0,COLUMN()),INDEX(MO_Common_QEndDate,0,COLUMN())),"N/A")</f>
        <v>N/A</v>
      </c>
      <c r="AM1106" s="319" t="str">
        <f ca="1">IFERROR(CIQHI(MO.Ticker.CapIQ,"IQ_LASTSALEPRICE",INDEX(MO_SNA_FPStartDate,0,COLUMN()),INDEX(MO_Common_QEndDate,0,COLUMN())),"N/A")</f>
        <v>N/A</v>
      </c>
      <c r="AN1106" s="319" t="str">
        <f ca="1">IFERROR(CIQHI(MO.Ticker.CapIQ,"IQ_LASTSALEPRICE",INDEX(MO_SNA_FPStartDate,0,COLUMN()),INDEX(MO_Common_QEndDate,0,COLUMN())),"N/A")</f>
        <v>N/A</v>
      </c>
      <c r="AO1106" s="319" t="str">
        <f ca="1">IFERROR(CIQHI(MO.Ticker.CapIQ,"IQ_LASTSALEPRICE",INDEX(MO_SNA_FPStartDate,0,COLUMN()),INDEX(MO_Common_QEndDate,0,COLUMN())),"N/A")</f>
        <v>N/A</v>
      </c>
      <c r="AP1106" s="319" t="str">
        <f ca="1">IFERROR(CIQHI(MO.Ticker.CapIQ,"IQ_LASTSALEPRICE",INDEX(MO_SNA_FPStartDate,0,COLUMN()),INDEX(MO_Common_QEndDate,0,COLUMN())),"N/A")</f>
        <v>N/A</v>
      </c>
      <c r="AQ1106" s="319" t="str">
        <f ca="1">IFERROR(CIQHI(MO.Ticker.CapIQ,"IQ_LASTSALEPRICE",INDEX(MO_SNA_FPStartDate,0,COLUMN()),INDEX(MO_Common_QEndDate,0,COLUMN())),"N/A")</f>
        <v>N/A</v>
      </c>
      <c r="AR1106" s="319" t="str">
        <f ca="1">IFERROR(CIQHI(MO.Ticker.CapIQ,"IQ_LASTSALEPRICE",INDEX(MO_SNA_FPStartDate,0,COLUMN()),INDEX(MO_Common_QEndDate,0,COLUMN())),"N/A")</f>
        <v>N/A</v>
      </c>
      <c r="AS1106" s="319" t="str">
        <f ca="1">IFERROR(CIQHI(MO.Ticker.CapIQ,"IQ_LASTSALEPRICE",INDEX(MO_SNA_FPStartDate,0,COLUMN()),INDEX(MO_Common_QEndDate,0,COLUMN())),"N/A")</f>
        <v>N/A</v>
      </c>
      <c r="AT1106" s="319" t="str">
        <f ca="1">IFERROR(CIQHI(MO.Ticker.CapIQ,"IQ_LASTSALEPRICE",INDEX(MO_SNA_FPStartDate,0,COLUMN()),INDEX(MO_Common_QEndDate,0,COLUMN())),"N/A")</f>
        <v>N/A</v>
      </c>
      <c r="AU1106" s="319" t="str">
        <f ca="1">IFERROR(CIQHI(MO.Ticker.CapIQ,"IQ_LASTSALEPRICE",INDEX(MO_SNA_FPStartDate,0,COLUMN()),INDEX(MO_Common_QEndDate,0,COLUMN())),"N/A")</f>
        <v>N/A</v>
      </c>
      <c r="AV1106" s="319" t="str">
        <f ca="1">IFERROR(CIQHI(MO.Ticker.CapIQ,"IQ_LASTSALEPRICE",INDEX(MO_SNA_FPStartDate,0,COLUMN()),INDEX(MO_Common_QEndDate,0,COLUMN())),"N/A")</f>
        <v>N/A</v>
      </c>
      <c r="AW1106" s="319" t="str">
        <f ca="1">IFERROR(CIQHI(MO.Ticker.CapIQ,"IQ_LASTSALEPRICE",INDEX(MO_SNA_FPStartDate,0,COLUMN()),INDEX(MO_Common_QEndDate,0,COLUMN())),"N/A")</f>
        <v>N/A</v>
      </c>
      <c r="AX1106" s="319" t="str">
        <f ca="1">IFERROR(CIQHI(MO.Ticker.CapIQ,"IQ_LASTSALEPRICE",INDEX(MO_SNA_FPStartDate,0,COLUMN()),INDEX(MO_Common_QEndDate,0,COLUMN())),"N/A")</f>
        <v>N/A</v>
      </c>
      <c r="AY1106" s="319" t="str">
        <f ca="1">IFERROR(CIQHI(MO.Ticker.CapIQ,"IQ_LASTSALEPRICE",INDEX(MO_SNA_FPStartDate,0,COLUMN()),INDEX(MO_Common_QEndDate,0,COLUMN())),"N/A")</f>
        <v>N/A</v>
      </c>
      <c r="AZ1106" s="319" t="str">
        <f ca="1">IFERROR(CIQHI(MO.Ticker.CapIQ,"IQ_LASTSALEPRICE",INDEX(MO_SNA_FPStartDate,0,COLUMN()),INDEX(MO_Common_QEndDate,0,COLUMN())),"N/A")</f>
        <v>N/A</v>
      </c>
      <c r="BA1106" s="319" t="str">
        <f ca="1">IFERROR(CIQHI(MO.Ticker.CapIQ,"IQ_LASTSALEPRICE",INDEX(MO_SNA_FPStartDate,0,COLUMN()),INDEX(MO_Common_QEndDate,0,COLUMN())),"N/A")</f>
        <v>N/A</v>
      </c>
      <c r="BB1106" s="319" t="str">
        <f ca="1">IFERROR(CIQHI(MO.Ticker.CapIQ,"IQ_LASTSALEPRICE",INDEX(MO_SNA_FPStartDate,0,COLUMN()),INDEX(MO_Common_QEndDate,0,COLUMN())),"N/A")</f>
        <v>N/A</v>
      </c>
      <c r="BC1106" s="319" t="str">
        <f ca="1">IFERROR(CIQHI(MO.Ticker.CapIQ,"IQ_LASTSALEPRICE",INDEX(MO_SNA_FPStartDate,0,COLUMN()),INDEX(MO_Common_QEndDate,0,COLUMN())),"N/A")</f>
        <v>N/A</v>
      </c>
      <c r="BD1106" s="319" t="str">
        <f ca="1">IFERROR(CIQHI(MO.Ticker.CapIQ,"IQ_LASTSALEPRICE",INDEX(MO_SNA_FPStartDate,0,COLUMN()),INDEX(MO_Common_QEndDate,0,COLUMN())),"N/A")</f>
        <v>N/A</v>
      </c>
      <c r="BE1106" s="319" t="str">
        <f ca="1">IFERROR(CIQHI(MO.Ticker.CapIQ,"IQ_LASTSALEPRICE",INDEX(MO_SNA_FPStartDate,0,COLUMN()),INDEX(MO_Common_QEndDate,0,COLUMN())),"N/A")</f>
        <v>N/A</v>
      </c>
      <c r="BF1106" s="319" t="str">
        <f ca="1">IFERROR(CIQHI(MO.Ticker.CapIQ,"IQ_LASTSALEPRICE",INDEX(MO_SNA_FPStartDate,0,COLUMN()),INDEX(MO_Common_QEndDate,0,COLUMN())),"N/A")</f>
        <v>N/A</v>
      </c>
      <c r="BG1106" s="319" t="str">
        <f ca="1">IFERROR(CIQHI(MO.Ticker.CapIQ,"IQ_LASTSALEPRICE",INDEX(MO_SNA_FPStartDate,0,COLUMN()),INDEX(MO_Common_QEndDate,0,COLUMN())),"N/A")</f>
        <v>N/A</v>
      </c>
      <c r="BH1106" s="454" t="str">
        <f ca="1">IFERROR(CIQHI(MO.Ticker.CapIQ,"IQ_LASTSALEPRICE",INDEX(MO_SNA_FPStartDate,0,COLUMN()),INDEX(MO_Common_QEndDate,0,COLUMN())),"N/A")</f>
        <v>N/A</v>
      </c>
      <c r="BI1106" s="319" t="str">
        <f ca="1">IFERROR(CIQHI(MO.Ticker.CapIQ,"IQ_LASTSALEPRICE",INDEX(MO_SNA_FPStartDate,0,COLUMN()),INDEX(MO_Common_QEndDate,0,COLUMN())),"N/A")</f>
        <v>N/A</v>
      </c>
      <c r="BJ1106" s="319" t="str">
        <f ca="1">IFERROR(CIQHI(MO.Ticker.CapIQ,"IQ_LASTSALEPRICE",INDEX(MO_SNA_FPStartDate,0,COLUMN()),INDEX(MO_Common_QEndDate,0,COLUMN())),"N/A")</f>
        <v>N/A</v>
      </c>
      <c r="BK1106" s="319" t="str">
        <f ca="1">IFERROR(CIQHI(MO.Ticker.CapIQ,"IQ_LASTSALEPRICE",INDEX(MO_SNA_FPStartDate,0,COLUMN()),INDEX(MO_Common_QEndDate,0,COLUMN())),"N/A")</f>
        <v>N/A</v>
      </c>
      <c r="BL1106" s="319" t="str">
        <f ca="1">IFERROR(CIQHI(MO.Ticker.CapIQ,"IQ_LASTSALEPRICE",INDEX(MO_SNA_FPStartDate,0,COLUMN()),INDEX(MO_Common_QEndDate,0,COLUMN())),"N/A")</f>
        <v>N/A</v>
      </c>
      <c r="BM1106" s="319" t="str">
        <f ca="1">IFERROR(CIQHI(MO.Ticker.CapIQ,"IQ_LASTSALEPRICE",INDEX(MO_SNA_FPStartDate,0,COLUMN()),INDEX(MO_Common_QEndDate,0,COLUMN())),"N/A")</f>
        <v>N/A</v>
      </c>
      <c r="BN1106" s="319" t="str">
        <f ca="1">IFERROR(CIQHI(MO.Ticker.CapIQ,"IQ_LASTSALEPRICE",INDEX(MO_SNA_FPStartDate,0,COLUMN()),INDEX(MO_Common_QEndDate,0,COLUMN())),"N/A")</f>
        <v>N/A</v>
      </c>
      <c r="BO1106" s="319" t="str">
        <f ca="1">IFERROR(CIQHI(MO.Ticker.CapIQ,"IQ_LASTSALEPRICE",INDEX(MO_SNA_FPStartDate,0,COLUMN()),INDEX(MO_Common_QEndDate,0,COLUMN())),"N/A")</f>
        <v>N/A</v>
      </c>
      <c r="BP1106" s="319" t="str">
        <f ca="1">IFERROR(CIQHI(MO.Ticker.CapIQ,"IQ_LASTSALEPRICE",INDEX(MO_SNA_FPStartDate,0,COLUMN()),INDEX(MO_Common_QEndDate,0,COLUMN())),"N/A")</f>
        <v>N/A</v>
      </c>
      <c r="BQ1106" s="319" t="str">
        <f ca="1">IFERROR(CIQHI(MO.Ticker.CapIQ,"IQ_LASTSALEPRICE",INDEX(MO_SNA_FPStartDate,0,COLUMN()),INDEX(MO_Common_QEndDate,0,COLUMN())),"N/A")</f>
        <v>N/A</v>
      </c>
      <c r="BR1106" s="321" t="str">
        <f ca="1">IFERROR(CIQHI(MO.Ticker.CapIQ,"IQ_LASTSALEPRICE",INDEX(MO_SNA_FPStartDate,0,COLUMN()),INDEX(MO_Common_QEndDate,0,COLUMN())),"N/A")</f>
        <v>N/A</v>
      </c>
      <c r="BS1106" s="355"/>
    </row>
    <row r="1107" spans="1:71" s="322" customFormat="1" ht="15" hidden="1" outlineLevel="1">
      <c r="A1107" s="323" t="s">
        <v>244</v>
      </c>
      <c r="B1107" s="319"/>
      <c r="C1107" s="320" t="str">
        <f ca="1">IFERROR(FDS(MO.Ticker.FactSet,"P_PRICE_HIGH"&amp;"("&amp;INDEX(MO_SNA_FPStartDate,0,COLUMN())&amp;","&amp;INDEX(MO_Common_QEndDate,0,COLUMN())&amp;",,,,""PRICE"",""CLOSE"")"),"N/A")</f>
        <v>N/A</v>
      </c>
      <c r="D1107" s="320" t="str">
        <f ca="1">IFERROR(FDS(MO.Ticker.FactSet,"P_PRICE_HIGH"&amp;"("&amp;INDEX(MO_SNA_FPStartDate,0,COLUMN())&amp;","&amp;INDEX(MO_Common_QEndDate,0,COLUMN())&amp;",,,,""PRICE"",""CLOSE"")"),"N/A")</f>
        <v>N/A</v>
      </c>
      <c r="E1107" s="319" t="str">
        <f ca="1">IFERROR(FDS(MO.Ticker.FactSet,"P_PRICE_HIGH"&amp;"("&amp;INDEX(MO_SNA_FPStartDate,0,COLUMN())&amp;","&amp;INDEX(MO_Common_QEndDate,0,COLUMN())&amp;",,,,""PRICE"",""CLOSE"")"),"N/A")</f>
        <v>N/A</v>
      </c>
      <c r="F1107" s="319" t="str">
        <f ca="1">IFERROR(FDS(MO.Ticker.FactSet,"P_PRICE_HIGH"&amp;"("&amp;INDEX(MO_SNA_FPStartDate,0,COLUMN())&amp;","&amp;INDEX(MO_Common_QEndDate,0,COLUMN())&amp;",,,,""PRICE"",""CLOSE"")"),"N/A")</f>
        <v>N/A</v>
      </c>
      <c r="G1107" s="319" t="str">
        <f ca="1">IFERROR(FDS(MO.Ticker.FactSet,"P_PRICE_HIGH"&amp;"("&amp;INDEX(MO_SNA_FPStartDate,0,COLUMN())&amp;","&amp;INDEX(MO_Common_QEndDate,0,COLUMN())&amp;",,,,""PRICE"",""CLOSE"")"),"N/A")</f>
        <v>N/A</v>
      </c>
      <c r="H1107" s="319" t="str">
        <f ca="1">IFERROR(FDS(MO.Ticker.FactSet,"P_PRICE_HIGH"&amp;"("&amp;INDEX(MO_SNA_FPStartDate,0,COLUMN())&amp;","&amp;INDEX(MO_Common_QEndDate,0,COLUMN())&amp;",,,,""PRICE"",""CLOSE"")"),"N/A")</f>
        <v>N/A</v>
      </c>
      <c r="I1107" s="319" t="str">
        <f ca="1">IFERROR(FDS(MO.Ticker.FactSet,"P_PRICE_HIGH"&amp;"("&amp;INDEX(MO_SNA_FPStartDate,0,COLUMN())&amp;","&amp;INDEX(MO_Common_QEndDate,0,COLUMN())&amp;",,,,""PRICE"",""CLOSE"")"),"N/A")</f>
        <v>N/A</v>
      </c>
      <c r="J1107" s="319" t="str">
        <f ca="1">IFERROR(FDS(MO.Ticker.FactSet,"P_PRICE_HIGH"&amp;"("&amp;INDEX(MO_SNA_FPStartDate,0,COLUMN())&amp;","&amp;INDEX(MO_Common_QEndDate,0,COLUMN())&amp;",,,,""PRICE"",""CLOSE"")"),"N/A")</f>
        <v>N/A</v>
      </c>
      <c r="K1107" s="319" t="str">
        <f ca="1">IFERROR(FDS(MO.Ticker.FactSet,"P_PRICE_HIGH"&amp;"("&amp;INDEX(MO_SNA_FPStartDate,0,COLUMN())&amp;","&amp;INDEX(MO_Common_QEndDate,0,COLUMN())&amp;",,,,""PRICE"",""CLOSE"")"),"N/A")</f>
        <v>N/A</v>
      </c>
      <c r="L1107" s="319" t="str">
        <f ca="1">IFERROR(FDS(MO.Ticker.FactSet,"P_PRICE_HIGH"&amp;"("&amp;INDEX(MO_SNA_FPStartDate,0,COLUMN())&amp;","&amp;INDEX(MO_Common_QEndDate,0,COLUMN())&amp;",,,,""PRICE"",""CLOSE"")"),"N/A")</f>
        <v>N/A</v>
      </c>
      <c r="M1107" s="319" t="str">
        <f ca="1">IFERROR(FDS(MO.Ticker.FactSet,"P_PRICE_HIGH"&amp;"("&amp;INDEX(MO_SNA_FPStartDate,0,COLUMN())&amp;","&amp;INDEX(MO_Common_QEndDate,0,COLUMN())&amp;",,,,""PRICE"",""CLOSE"")"),"N/A")</f>
        <v>N/A</v>
      </c>
      <c r="N1107" s="319" t="str">
        <f ca="1">IFERROR(FDS(MO.Ticker.FactSet,"P_PRICE_HIGH"&amp;"("&amp;INDEX(MO_SNA_FPStartDate,0,COLUMN())&amp;","&amp;INDEX(MO_Common_QEndDate,0,COLUMN())&amp;",,,,""PRICE"",""CLOSE"")"),"N/A")</f>
        <v>N/A</v>
      </c>
      <c r="O1107" s="319" t="str">
        <f ca="1">IFERROR(FDS(MO.Ticker.FactSet,"P_PRICE_HIGH"&amp;"("&amp;INDEX(MO_SNA_FPStartDate,0,COLUMN())&amp;","&amp;INDEX(MO_Common_QEndDate,0,COLUMN())&amp;",,,,""PRICE"",""CLOSE"")"),"N/A")</f>
        <v>N/A</v>
      </c>
      <c r="P1107" s="319" t="str">
        <f ca="1">IFERROR(FDS(MO.Ticker.FactSet,"P_PRICE_HIGH"&amp;"("&amp;INDEX(MO_SNA_FPStartDate,0,COLUMN())&amp;","&amp;INDEX(MO_Common_QEndDate,0,COLUMN())&amp;",,,,""PRICE"",""CLOSE"")"),"N/A")</f>
        <v>N/A</v>
      </c>
      <c r="Q1107" s="319" t="str">
        <f ca="1">IFERROR(FDS(MO.Ticker.FactSet,"P_PRICE_HIGH"&amp;"("&amp;INDEX(MO_SNA_FPStartDate,0,COLUMN())&amp;","&amp;INDEX(MO_Common_QEndDate,0,COLUMN())&amp;",,,,""PRICE"",""CLOSE"")"),"N/A")</f>
        <v>N/A</v>
      </c>
      <c r="R1107" s="319" t="str">
        <f ca="1">IFERROR(FDS(MO.Ticker.FactSet,"P_PRICE_HIGH"&amp;"("&amp;INDEX(MO_SNA_FPStartDate,0,COLUMN())&amp;","&amp;INDEX(MO_Common_QEndDate,0,COLUMN())&amp;",,,,""PRICE"",""CLOSE"")"),"N/A")</f>
        <v>N/A</v>
      </c>
      <c r="S1107" s="319" t="str">
        <f ca="1">IFERROR(FDS(MO.Ticker.FactSet,"P_PRICE_HIGH"&amp;"("&amp;INDEX(MO_SNA_FPStartDate,0,COLUMN())&amp;","&amp;INDEX(MO_Common_QEndDate,0,COLUMN())&amp;",,,,""PRICE"",""CLOSE"")"),"N/A")</f>
        <v>N/A</v>
      </c>
      <c r="T1107" s="319" t="str">
        <f ca="1">IFERROR(FDS(MO.Ticker.FactSet,"P_PRICE_HIGH"&amp;"("&amp;INDEX(MO_SNA_FPStartDate,0,COLUMN())&amp;","&amp;INDEX(MO_Common_QEndDate,0,COLUMN())&amp;",,,,""PRICE"",""CLOSE"")"),"N/A")</f>
        <v>N/A</v>
      </c>
      <c r="U1107" s="319" t="str">
        <f ca="1">IFERROR(FDS(MO.Ticker.FactSet,"P_PRICE_HIGH"&amp;"("&amp;INDEX(MO_SNA_FPStartDate,0,COLUMN())&amp;","&amp;INDEX(MO_Common_QEndDate,0,COLUMN())&amp;",,,,""PRICE"",""CLOSE"")"),"N/A")</f>
        <v>N/A</v>
      </c>
      <c r="V1107" s="319" t="str">
        <f ca="1">IFERROR(FDS(MO.Ticker.FactSet,"P_PRICE_HIGH"&amp;"("&amp;INDEX(MO_SNA_FPStartDate,0,COLUMN())&amp;","&amp;INDEX(MO_Common_QEndDate,0,COLUMN())&amp;",,,,""PRICE"",""CLOSE"")"),"N/A")</f>
        <v>N/A</v>
      </c>
      <c r="W1107" s="319" t="str">
        <f ca="1">IFERROR(FDS(MO.Ticker.FactSet,"P_PRICE_HIGH"&amp;"("&amp;INDEX(MO_SNA_FPStartDate,0,COLUMN())&amp;","&amp;INDEX(MO_Common_QEndDate,0,COLUMN())&amp;",,,,""PRICE"",""CLOSE"")"),"N/A")</f>
        <v>N/A</v>
      </c>
      <c r="X1107" s="319" t="str">
        <f ca="1">IFERROR(FDS(MO.Ticker.FactSet,"P_PRICE_HIGH"&amp;"("&amp;INDEX(MO_SNA_FPStartDate,0,COLUMN())&amp;","&amp;INDEX(MO_Common_QEndDate,0,COLUMN())&amp;",,,,""PRICE"",""CLOSE"")"),"N/A")</f>
        <v>N/A</v>
      </c>
      <c r="Y1107" s="319" t="str">
        <f ca="1">IFERROR(FDS(MO.Ticker.FactSet,"P_PRICE_HIGH"&amp;"("&amp;INDEX(MO_SNA_FPStartDate,0,COLUMN())&amp;","&amp;INDEX(MO_Common_QEndDate,0,COLUMN())&amp;",,,,""PRICE"",""CLOSE"")"),"N/A")</f>
        <v>N/A</v>
      </c>
      <c r="Z1107" s="319" t="str">
        <f ca="1">IFERROR(FDS(MO.Ticker.FactSet,"P_PRICE_HIGH"&amp;"("&amp;INDEX(MO_SNA_FPStartDate,0,COLUMN())&amp;","&amp;INDEX(MO_Common_QEndDate,0,COLUMN())&amp;",,,,""PRICE"",""CLOSE"")"),"N/A")</f>
        <v>N/A</v>
      </c>
      <c r="AA1107" s="319" t="str">
        <f ca="1">IFERROR(FDS(MO.Ticker.FactSet,"P_PRICE_HIGH"&amp;"("&amp;INDEX(MO_SNA_FPStartDate,0,COLUMN())&amp;","&amp;INDEX(MO_Common_QEndDate,0,COLUMN())&amp;",,,,""PRICE"",""CLOSE"")"),"N/A")</f>
        <v>N/A</v>
      </c>
      <c r="AB1107" s="319" t="str">
        <f ca="1">IFERROR(FDS(MO.Ticker.FactSet,"P_PRICE_HIGH"&amp;"("&amp;INDEX(MO_SNA_FPStartDate,0,COLUMN())&amp;","&amp;INDEX(MO_Common_QEndDate,0,COLUMN())&amp;",,,,""PRICE"",""CLOSE"")"),"N/A")</f>
        <v>N/A</v>
      </c>
      <c r="AC1107" s="319" t="str">
        <f ca="1">IFERROR(FDS(MO.Ticker.FactSet,"P_PRICE_HIGH"&amp;"("&amp;INDEX(MO_SNA_FPStartDate,0,COLUMN())&amp;","&amp;INDEX(MO_Common_QEndDate,0,COLUMN())&amp;",,,,""PRICE"",""CLOSE"")"),"N/A")</f>
        <v>N/A</v>
      </c>
      <c r="AD1107" s="319" t="str">
        <f ca="1">IFERROR(FDS(MO.Ticker.FactSet,"P_PRICE_HIGH"&amp;"("&amp;INDEX(MO_SNA_FPStartDate,0,COLUMN())&amp;","&amp;INDEX(MO_Common_QEndDate,0,COLUMN())&amp;",,,,""PRICE"",""CLOSE"")"),"N/A")</f>
        <v>N/A</v>
      </c>
      <c r="AE1107" s="319" t="str">
        <f ca="1">IFERROR(FDS(MO.Ticker.FactSet,"P_PRICE_HIGH"&amp;"("&amp;INDEX(MO_SNA_FPStartDate,0,COLUMN())&amp;","&amp;INDEX(MO_Common_QEndDate,0,COLUMN())&amp;",,,,""PRICE"",""CLOSE"")"),"N/A")</f>
        <v>N/A</v>
      </c>
      <c r="AF1107" s="319" t="str">
        <f ca="1">IFERROR(FDS(MO.Ticker.FactSet,"P_PRICE_HIGH"&amp;"("&amp;INDEX(MO_SNA_FPStartDate,0,COLUMN())&amp;","&amp;INDEX(MO_Common_QEndDate,0,COLUMN())&amp;",,,,""PRICE"",""CLOSE"")"),"N/A")</f>
        <v>N/A</v>
      </c>
      <c r="AG1107" s="319" t="str">
        <f ca="1">IFERROR(FDS(MO.Ticker.FactSet,"P_PRICE_HIGH"&amp;"("&amp;INDEX(MO_SNA_FPStartDate,0,COLUMN())&amp;","&amp;INDEX(MO_Common_QEndDate,0,COLUMN())&amp;",,,,""PRICE"",""CLOSE"")"),"N/A")</f>
        <v>N/A</v>
      </c>
      <c r="AH1107" s="319" t="str">
        <f ca="1">IFERROR(FDS(MO.Ticker.FactSet,"P_PRICE_HIGH"&amp;"("&amp;INDEX(MO_SNA_FPStartDate,0,COLUMN())&amp;","&amp;INDEX(MO_Common_QEndDate,0,COLUMN())&amp;",,,,""PRICE"",""CLOSE"")"),"N/A")</f>
        <v>N/A</v>
      </c>
      <c r="AI1107" s="319" t="str">
        <f ca="1">IFERROR(FDS(MO.Ticker.FactSet,"P_PRICE_HIGH"&amp;"("&amp;INDEX(MO_SNA_FPStartDate,0,COLUMN())&amp;","&amp;INDEX(MO_Common_QEndDate,0,COLUMN())&amp;",,,,""PRICE"",""CLOSE"")"),"N/A")</f>
        <v>N/A</v>
      </c>
      <c r="AJ1107" s="319" t="str">
        <f ca="1">IFERROR(FDS(MO.Ticker.FactSet,"P_PRICE_HIGH"&amp;"("&amp;INDEX(MO_SNA_FPStartDate,0,COLUMN())&amp;","&amp;INDEX(MO_Common_QEndDate,0,COLUMN())&amp;",,,,""PRICE"",""CLOSE"")"),"N/A")</f>
        <v>N/A</v>
      </c>
      <c r="AK1107" s="319" t="str">
        <f ca="1">IFERROR(FDS(MO.Ticker.FactSet,"P_PRICE_HIGH"&amp;"("&amp;INDEX(MO_SNA_FPStartDate,0,COLUMN())&amp;","&amp;INDEX(MO_Common_QEndDate,0,COLUMN())&amp;",,,,""PRICE"",""CLOSE"")"),"N/A")</f>
        <v>N/A</v>
      </c>
      <c r="AL1107" s="319" t="str">
        <f ca="1">IFERROR(FDS(MO.Ticker.FactSet,"P_PRICE_HIGH"&amp;"("&amp;INDEX(MO_SNA_FPStartDate,0,COLUMN())&amp;","&amp;INDEX(MO_Common_QEndDate,0,COLUMN())&amp;",,,,""PRICE"",""CLOSE"")"),"N/A")</f>
        <v>N/A</v>
      </c>
      <c r="AM1107" s="319" t="str">
        <f ca="1">IFERROR(FDS(MO.Ticker.FactSet,"P_PRICE_HIGH"&amp;"("&amp;INDEX(MO_SNA_FPStartDate,0,COLUMN())&amp;","&amp;INDEX(MO_Common_QEndDate,0,COLUMN())&amp;",,,,""PRICE"",""CLOSE"")"),"N/A")</f>
        <v>N/A</v>
      </c>
      <c r="AN1107" s="319" t="str">
        <f ca="1">IFERROR(FDS(MO.Ticker.FactSet,"P_PRICE_HIGH"&amp;"("&amp;INDEX(MO_SNA_FPStartDate,0,COLUMN())&amp;","&amp;INDEX(MO_Common_QEndDate,0,COLUMN())&amp;",,,,""PRICE"",""CLOSE"")"),"N/A")</f>
        <v>N/A</v>
      </c>
      <c r="AO1107" s="319" t="str">
        <f ca="1">IFERROR(FDS(MO.Ticker.FactSet,"P_PRICE_HIGH"&amp;"("&amp;INDEX(MO_SNA_FPStartDate,0,COLUMN())&amp;","&amp;INDEX(MO_Common_QEndDate,0,COLUMN())&amp;",,,,""PRICE"",""CLOSE"")"),"N/A")</f>
        <v>N/A</v>
      </c>
      <c r="AP1107" s="319" t="str">
        <f ca="1">IFERROR(FDS(MO.Ticker.FactSet,"P_PRICE_HIGH"&amp;"("&amp;INDEX(MO_SNA_FPStartDate,0,COLUMN())&amp;","&amp;INDEX(MO_Common_QEndDate,0,COLUMN())&amp;",,,,""PRICE"",""CLOSE"")"),"N/A")</f>
        <v>N/A</v>
      </c>
      <c r="AQ1107" s="319" t="str">
        <f ca="1">IFERROR(FDS(MO.Ticker.FactSet,"P_PRICE_HIGH"&amp;"("&amp;INDEX(MO_SNA_FPStartDate,0,COLUMN())&amp;","&amp;INDEX(MO_Common_QEndDate,0,COLUMN())&amp;",,,,""PRICE"",""CLOSE"")"),"N/A")</f>
        <v>N/A</v>
      </c>
      <c r="AR1107" s="319" t="str">
        <f ca="1">IFERROR(FDS(MO.Ticker.FactSet,"P_PRICE_HIGH"&amp;"("&amp;INDEX(MO_SNA_FPStartDate,0,COLUMN())&amp;","&amp;INDEX(MO_Common_QEndDate,0,COLUMN())&amp;",,,,""PRICE"",""CLOSE"")"),"N/A")</f>
        <v>N/A</v>
      </c>
      <c r="AS1107" s="319" t="str">
        <f ca="1">IFERROR(FDS(MO.Ticker.FactSet,"P_PRICE_HIGH"&amp;"("&amp;INDEX(MO_SNA_FPStartDate,0,COLUMN())&amp;","&amp;INDEX(MO_Common_QEndDate,0,COLUMN())&amp;",,,,""PRICE"",""CLOSE"")"),"N/A")</f>
        <v>N/A</v>
      </c>
      <c r="AT1107" s="319" t="str">
        <f ca="1">IFERROR(FDS(MO.Ticker.FactSet,"P_PRICE_HIGH"&amp;"("&amp;INDEX(MO_SNA_FPStartDate,0,COLUMN())&amp;","&amp;INDEX(MO_Common_QEndDate,0,COLUMN())&amp;",,,,""PRICE"",""CLOSE"")"),"N/A")</f>
        <v>N/A</v>
      </c>
      <c r="AU1107" s="319" t="str">
        <f ca="1">IFERROR(FDS(MO.Ticker.FactSet,"P_PRICE_HIGH"&amp;"("&amp;INDEX(MO_SNA_FPStartDate,0,COLUMN())&amp;","&amp;INDEX(MO_Common_QEndDate,0,COLUMN())&amp;",,,,""PRICE"",""CLOSE"")"),"N/A")</f>
        <v>N/A</v>
      </c>
      <c r="AV1107" s="319" t="str">
        <f ca="1">IFERROR(FDS(MO.Ticker.FactSet,"P_PRICE_HIGH"&amp;"("&amp;INDEX(MO_SNA_FPStartDate,0,COLUMN())&amp;","&amp;INDEX(MO_Common_QEndDate,0,COLUMN())&amp;",,,,""PRICE"",""CLOSE"")"),"N/A")</f>
        <v>N/A</v>
      </c>
      <c r="AW1107" s="319" t="str">
        <f ca="1">IFERROR(FDS(MO.Ticker.FactSet,"P_PRICE_HIGH"&amp;"("&amp;INDEX(MO_SNA_FPStartDate,0,COLUMN())&amp;","&amp;INDEX(MO_Common_QEndDate,0,COLUMN())&amp;",,,,""PRICE"",""CLOSE"")"),"N/A")</f>
        <v>N/A</v>
      </c>
      <c r="AX1107" s="319" t="str">
        <f ca="1">IFERROR(FDS(MO.Ticker.FactSet,"P_PRICE_HIGH"&amp;"("&amp;INDEX(MO_SNA_FPStartDate,0,COLUMN())&amp;","&amp;INDEX(MO_Common_QEndDate,0,COLUMN())&amp;",,,,""PRICE"",""CLOSE"")"),"N/A")</f>
        <v>N/A</v>
      </c>
      <c r="AY1107" s="319" t="str">
        <f ca="1">IFERROR(FDS(MO.Ticker.FactSet,"P_PRICE_HIGH"&amp;"("&amp;INDEX(MO_SNA_FPStartDate,0,COLUMN())&amp;","&amp;INDEX(MO_Common_QEndDate,0,COLUMN())&amp;",,,,""PRICE"",""CLOSE"")"),"N/A")</f>
        <v>N/A</v>
      </c>
      <c r="AZ1107" s="319" t="str">
        <f ca="1">IFERROR(FDS(MO.Ticker.FactSet,"P_PRICE_HIGH"&amp;"("&amp;INDEX(MO_SNA_FPStartDate,0,COLUMN())&amp;","&amp;INDEX(MO_Common_QEndDate,0,COLUMN())&amp;",,,,""PRICE"",""CLOSE"")"),"N/A")</f>
        <v>N/A</v>
      </c>
      <c r="BA1107" s="319" t="str">
        <f ca="1">IFERROR(FDS(MO.Ticker.FactSet,"P_PRICE_HIGH"&amp;"("&amp;INDEX(MO_SNA_FPStartDate,0,COLUMN())&amp;","&amp;INDEX(MO_Common_QEndDate,0,COLUMN())&amp;",,,,""PRICE"",""CLOSE"")"),"N/A")</f>
        <v>N/A</v>
      </c>
      <c r="BB1107" s="319" t="str">
        <f ca="1">IFERROR(FDS(MO.Ticker.FactSet,"P_PRICE_HIGH"&amp;"("&amp;INDEX(MO_SNA_FPStartDate,0,COLUMN())&amp;","&amp;INDEX(MO_Common_QEndDate,0,COLUMN())&amp;",,,,""PRICE"",""CLOSE"")"),"N/A")</f>
        <v>N/A</v>
      </c>
      <c r="BC1107" s="319" t="str">
        <f ca="1">IFERROR(FDS(MO.Ticker.FactSet,"P_PRICE_HIGH"&amp;"("&amp;INDEX(MO_SNA_FPStartDate,0,COLUMN())&amp;","&amp;INDEX(MO_Common_QEndDate,0,COLUMN())&amp;",,,,""PRICE"",""CLOSE"")"),"N/A")</f>
        <v>N/A</v>
      </c>
      <c r="BD1107" s="319" t="str">
        <f ca="1">IFERROR(FDS(MO.Ticker.FactSet,"P_PRICE_HIGH"&amp;"("&amp;INDEX(MO_SNA_FPStartDate,0,COLUMN())&amp;","&amp;INDEX(MO_Common_QEndDate,0,COLUMN())&amp;",,,,""PRICE"",""CLOSE"")"),"N/A")</f>
        <v>N/A</v>
      </c>
      <c r="BE1107" s="319" t="str">
        <f ca="1">IFERROR(FDS(MO.Ticker.FactSet,"P_PRICE_HIGH"&amp;"("&amp;INDEX(MO_SNA_FPStartDate,0,COLUMN())&amp;","&amp;INDEX(MO_Common_QEndDate,0,COLUMN())&amp;",,,,""PRICE"",""CLOSE"")"),"N/A")</f>
        <v>N/A</v>
      </c>
      <c r="BF1107" s="319" t="str">
        <f ca="1">IFERROR(FDS(MO.Ticker.FactSet,"P_PRICE_HIGH"&amp;"("&amp;INDEX(MO_SNA_FPStartDate,0,COLUMN())&amp;","&amp;INDEX(MO_Common_QEndDate,0,COLUMN())&amp;",,,,""PRICE"",""CLOSE"")"),"N/A")</f>
        <v>N/A</v>
      </c>
      <c r="BG1107" s="319" t="str">
        <f ca="1">IFERROR(FDS(MO.Ticker.FactSet,"P_PRICE_HIGH"&amp;"("&amp;INDEX(MO_SNA_FPStartDate,0,COLUMN())&amp;","&amp;INDEX(MO_Common_QEndDate,0,COLUMN())&amp;",,,,""PRICE"",""CLOSE"")"),"N/A")</f>
        <v>N/A</v>
      </c>
      <c r="BH1107" s="454" t="str">
        <f ca="1">IFERROR(FDS(MO.Ticker.FactSet,"P_PRICE_HIGH"&amp;"("&amp;INDEX(MO_SNA_FPStartDate,0,COLUMN())&amp;","&amp;INDEX(MO_Common_QEndDate,0,COLUMN())&amp;",,,,""PRICE"",""CLOSE"")"),"N/A")</f>
        <v>N/A</v>
      </c>
      <c r="BI1107" s="319" t="str">
        <f ca="1">IFERROR(FDS(MO.Ticker.FactSet,"P_PRICE_HIGH"&amp;"("&amp;INDEX(MO_SNA_FPStartDate,0,COLUMN())&amp;","&amp;INDEX(MO_Common_QEndDate,0,COLUMN())&amp;",,,,""PRICE"",""CLOSE"")"),"N/A")</f>
        <v>N/A</v>
      </c>
      <c r="BJ1107" s="319" t="str">
        <f ca="1">IFERROR(FDS(MO.Ticker.FactSet,"P_PRICE_HIGH"&amp;"("&amp;INDEX(MO_SNA_FPStartDate,0,COLUMN())&amp;","&amp;INDEX(MO_Common_QEndDate,0,COLUMN())&amp;",,,,""PRICE"",""CLOSE"")"),"N/A")</f>
        <v>N/A</v>
      </c>
      <c r="BK1107" s="319" t="str">
        <f ca="1">IFERROR(FDS(MO.Ticker.FactSet,"P_PRICE_HIGH"&amp;"("&amp;INDEX(MO_SNA_FPStartDate,0,COLUMN())&amp;","&amp;INDEX(MO_Common_QEndDate,0,COLUMN())&amp;",,,,""PRICE"",""CLOSE"")"),"N/A")</f>
        <v>N/A</v>
      </c>
      <c r="BL1107" s="319" t="str">
        <f ca="1">IFERROR(FDS(MO.Ticker.FactSet,"P_PRICE_HIGH"&amp;"("&amp;INDEX(MO_SNA_FPStartDate,0,COLUMN())&amp;","&amp;INDEX(MO_Common_QEndDate,0,COLUMN())&amp;",,,,""PRICE"",""CLOSE"")"),"N/A")</f>
        <v>N/A</v>
      </c>
      <c r="BM1107" s="319" t="str">
        <f ca="1">IFERROR(FDS(MO.Ticker.FactSet,"P_PRICE_HIGH"&amp;"("&amp;INDEX(MO_SNA_FPStartDate,0,COLUMN())&amp;","&amp;INDEX(MO_Common_QEndDate,0,COLUMN())&amp;",,,,""PRICE"",""CLOSE"")"),"N/A")</f>
        <v>N/A</v>
      </c>
      <c r="BN1107" s="319" t="str">
        <f ca="1">IFERROR(FDS(MO.Ticker.FactSet,"P_PRICE_HIGH"&amp;"("&amp;INDEX(MO_SNA_FPStartDate,0,COLUMN())&amp;","&amp;INDEX(MO_Common_QEndDate,0,COLUMN())&amp;",,,,""PRICE"",""CLOSE"")"),"N/A")</f>
        <v>N/A</v>
      </c>
      <c r="BO1107" s="319" t="str">
        <f ca="1">IFERROR(FDS(MO.Ticker.FactSet,"P_PRICE_HIGH"&amp;"("&amp;INDEX(MO_SNA_FPStartDate,0,COLUMN())&amp;","&amp;INDEX(MO_Common_QEndDate,0,COLUMN())&amp;",,,,""PRICE"",""CLOSE"")"),"N/A")</f>
        <v>N/A</v>
      </c>
      <c r="BP1107" s="319" t="str">
        <f ca="1">IFERROR(FDS(MO.Ticker.FactSet,"P_PRICE_HIGH"&amp;"("&amp;INDEX(MO_SNA_FPStartDate,0,COLUMN())&amp;","&amp;INDEX(MO_Common_QEndDate,0,COLUMN())&amp;",,,,""PRICE"",""CLOSE"")"),"N/A")</f>
        <v>N/A</v>
      </c>
      <c r="BQ1107" s="319" t="str">
        <f ca="1">IFERROR(FDS(MO.Ticker.FactSet,"P_PRICE_HIGH"&amp;"("&amp;INDEX(MO_SNA_FPStartDate,0,COLUMN())&amp;","&amp;INDEX(MO_Common_QEndDate,0,COLUMN())&amp;",,,,""PRICE"",""CLOSE"")"),"N/A")</f>
        <v>N/A</v>
      </c>
      <c r="BR1107" s="321" t="str">
        <f ca="1">IFERROR(FDS(MO.Ticker.FactSet,"P_PRICE_HIGH"&amp;"("&amp;INDEX(MO_SNA_FPStartDate,0,COLUMN())&amp;","&amp;INDEX(MO_Common_QEndDate,0,COLUMN())&amp;",,,,""PRICE"",""CLOSE"")"),"N/A")</f>
        <v>N/A</v>
      </c>
      <c r="BS1107" s="355"/>
    </row>
    <row r="1108" spans="1:71" s="322" customFormat="1" ht="15" hidden="1" outlineLevel="1">
      <c r="A1108" s="323" t="s">
        <v>654</v>
      </c>
      <c r="B1108" s="319"/>
      <c r="C1108" s="320" t="str">
        <f ca="1">IFERROR(_xll.TR(MO.Ticker.Thomson,"MAX(TR.Pricehigh)","sdate:#1 edate:#2",,INDEX(MO_SNA_FPStartDate,0,COLUMN()),INDEX(MO_Common_QEndDate,0,COLUMN())),"N/A")</f>
        <v>N/A</v>
      </c>
      <c r="D1108" s="320" t="str">
        <f ca="1">IFERROR(_xll.TR(MO.Ticker.Thomson,"MAX(TR.Pricehigh)","sdate:#1 edate:#2",,INDEX(MO_SNA_FPStartDate,0,COLUMN()),INDEX(MO_Common_QEndDate,0,COLUMN())),"N/A")</f>
        <v>N/A</v>
      </c>
      <c r="E1108" s="319" t="str">
        <f ca="1">IFERROR(_xll.TR(MO.Ticker.Thomson,"MAX(TR.Pricehigh)","sdate:#1 edate:#2",,INDEX(MO_SNA_FPStartDate,0,COLUMN()),INDEX(MO_Common_QEndDate,0,COLUMN())),"N/A")</f>
        <v>N/A</v>
      </c>
      <c r="F1108" s="319" t="str">
        <f ca="1">IFERROR(_xll.TR(MO.Ticker.Thomson,"MAX(TR.Pricehigh)","sdate:#1 edate:#2",,INDEX(MO_SNA_FPStartDate,0,COLUMN()),INDEX(MO_Common_QEndDate,0,COLUMN())),"N/A")</f>
        <v>N/A</v>
      </c>
      <c r="G1108" s="319" t="str">
        <f ca="1">IFERROR(_xll.TR(MO.Ticker.Thomson,"MAX(TR.Pricehigh)","sdate:#1 edate:#2",,INDEX(MO_SNA_FPStartDate,0,COLUMN()),INDEX(MO_Common_QEndDate,0,COLUMN())),"N/A")</f>
        <v>N/A</v>
      </c>
      <c r="H1108" s="319" t="str">
        <f ca="1">IFERROR(_xll.TR(MO.Ticker.Thomson,"MAX(TR.Pricehigh)","sdate:#1 edate:#2",,INDEX(MO_SNA_FPStartDate,0,COLUMN()),INDEX(MO_Common_QEndDate,0,COLUMN())),"N/A")</f>
        <v>N/A</v>
      </c>
      <c r="I1108" s="319" t="str">
        <f ca="1">IFERROR(_xll.TR(MO.Ticker.Thomson,"MAX(TR.Pricehigh)","sdate:#1 edate:#2",,INDEX(MO_SNA_FPStartDate,0,COLUMN()),INDEX(MO_Common_QEndDate,0,COLUMN())),"N/A")</f>
        <v>N/A</v>
      </c>
      <c r="J1108" s="319" t="str">
        <f ca="1">IFERROR(_xll.TR(MO.Ticker.Thomson,"MAX(TR.Pricehigh)","sdate:#1 edate:#2",,INDEX(MO_SNA_FPStartDate,0,COLUMN()),INDEX(MO_Common_QEndDate,0,COLUMN())),"N/A")</f>
        <v>N/A</v>
      </c>
      <c r="K1108" s="319" t="str">
        <f ca="1">IFERROR(_xll.TR(MO.Ticker.Thomson,"MAX(TR.Pricehigh)","sdate:#1 edate:#2",,INDEX(MO_SNA_FPStartDate,0,COLUMN()),INDEX(MO_Common_QEndDate,0,COLUMN())),"N/A")</f>
        <v>N/A</v>
      </c>
      <c r="L1108" s="319" t="str">
        <f ca="1">IFERROR(_xll.TR(MO.Ticker.Thomson,"MAX(TR.Pricehigh)","sdate:#1 edate:#2",,INDEX(MO_SNA_FPStartDate,0,COLUMN()),INDEX(MO_Common_QEndDate,0,COLUMN())),"N/A")</f>
        <v>N/A</v>
      </c>
      <c r="M1108" s="319" t="str">
        <f ca="1">IFERROR(_xll.TR(MO.Ticker.Thomson,"MAX(TR.Pricehigh)","sdate:#1 edate:#2",,INDEX(MO_SNA_FPStartDate,0,COLUMN()),INDEX(MO_Common_QEndDate,0,COLUMN())),"N/A")</f>
        <v>N/A</v>
      </c>
      <c r="N1108" s="319" t="str">
        <f ca="1">IFERROR(_xll.TR(MO.Ticker.Thomson,"MAX(TR.Pricehigh)","sdate:#1 edate:#2",,INDEX(MO_SNA_FPStartDate,0,COLUMN()),INDEX(MO_Common_QEndDate,0,COLUMN())),"N/A")</f>
        <v>N/A</v>
      </c>
      <c r="O1108" s="319" t="str">
        <f ca="1">IFERROR(_xll.TR(MO.Ticker.Thomson,"MAX(TR.Pricehigh)","sdate:#1 edate:#2",,INDEX(MO_SNA_FPStartDate,0,COLUMN()),INDEX(MO_Common_QEndDate,0,COLUMN())),"N/A")</f>
        <v>N/A</v>
      </c>
      <c r="P1108" s="319" t="str">
        <f ca="1">IFERROR(_xll.TR(MO.Ticker.Thomson,"MAX(TR.Pricehigh)","sdate:#1 edate:#2",,INDEX(MO_SNA_FPStartDate,0,COLUMN()),INDEX(MO_Common_QEndDate,0,COLUMN())),"N/A")</f>
        <v>N/A</v>
      </c>
      <c r="Q1108" s="319" t="str">
        <f ca="1">IFERROR(_xll.TR(MO.Ticker.Thomson,"MAX(TR.Pricehigh)","sdate:#1 edate:#2",,INDEX(MO_SNA_FPStartDate,0,COLUMN()),INDEX(MO_Common_QEndDate,0,COLUMN())),"N/A")</f>
        <v>N/A</v>
      </c>
      <c r="R1108" s="319" t="str">
        <f ca="1">IFERROR(_xll.TR(MO.Ticker.Thomson,"MAX(TR.Pricehigh)","sdate:#1 edate:#2",,INDEX(MO_SNA_FPStartDate,0,COLUMN()),INDEX(MO_Common_QEndDate,0,COLUMN())),"N/A")</f>
        <v>N/A</v>
      </c>
      <c r="S1108" s="319" t="str">
        <f ca="1">IFERROR(_xll.TR(MO.Ticker.Thomson,"MAX(TR.Pricehigh)","sdate:#1 edate:#2",,INDEX(MO_SNA_FPStartDate,0,COLUMN()),INDEX(MO_Common_QEndDate,0,COLUMN())),"N/A")</f>
        <v>N/A</v>
      </c>
      <c r="T1108" s="319" t="str">
        <f ca="1">IFERROR(_xll.TR(MO.Ticker.Thomson,"MAX(TR.Pricehigh)","sdate:#1 edate:#2",,INDEX(MO_SNA_FPStartDate,0,COLUMN()),INDEX(MO_Common_QEndDate,0,COLUMN())),"N/A")</f>
        <v>N/A</v>
      </c>
      <c r="U1108" s="319" t="str">
        <f ca="1">IFERROR(_xll.TR(MO.Ticker.Thomson,"MAX(TR.Pricehigh)","sdate:#1 edate:#2",,INDEX(MO_SNA_FPStartDate,0,COLUMN()),INDEX(MO_Common_QEndDate,0,COLUMN())),"N/A")</f>
        <v>N/A</v>
      </c>
      <c r="V1108" s="319" t="str">
        <f ca="1">IFERROR(_xll.TR(MO.Ticker.Thomson,"MAX(TR.Pricehigh)","sdate:#1 edate:#2",,INDEX(MO_SNA_FPStartDate,0,COLUMN()),INDEX(MO_Common_QEndDate,0,COLUMN())),"N/A")</f>
        <v>N/A</v>
      </c>
      <c r="W1108" s="319" t="str">
        <f ca="1">IFERROR(_xll.TR(MO.Ticker.Thomson,"MAX(TR.Pricehigh)","sdate:#1 edate:#2",,INDEX(MO_SNA_FPStartDate,0,COLUMN()),INDEX(MO_Common_QEndDate,0,COLUMN())),"N/A")</f>
        <v>N/A</v>
      </c>
      <c r="X1108" s="319" t="str">
        <f ca="1">IFERROR(_xll.TR(MO.Ticker.Thomson,"MAX(TR.Pricehigh)","sdate:#1 edate:#2",,INDEX(MO_SNA_FPStartDate,0,COLUMN()),INDEX(MO_Common_QEndDate,0,COLUMN())),"N/A")</f>
        <v>N/A</v>
      </c>
      <c r="Y1108" s="319" t="str">
        <f ca="1">IFERROR(_xll.TR(MO.Ticker.Thomson,"MAX(TR.Pricehigh)","sdate:#1 edate:#2",,INDEX(MO_SNA_FPStartDate,0,COLUMN()),INDEX(MO_Common_QEndDate,0,COLUMN())),"N/A")</f>
        <v>N/A</v>
      </c>
      <c r="Z1108" s="319" t="str">
        <f ca="1">IFERROR(_xll.TR(MO.Ticker.Thomson,"MAX(TR.Pricehigh)","sdate:#1 edate:#2",,INDEX(MO_SNA_FPStartDate,0,COLUMN()),INDEX(MO_Common_QEndDate,0,COLUMN())),"N/A")</f>
        <v>N/A</v>
      </c>
      <c r="AA1108" s="319" t="str">
        <f ca="1">IFERROR(_xll.TR(MO.Ticker.Thomson,"MAX(TR.Pricehigh)","sdate:#1 edate:#2",,INDEX(MO_SNA_FPStartDate,0,COLUMN()),INDEX(MO_Common_QEndDate,0,COLUMN())),"N/A")</f>
        <v>N/A</v>
      </c>
      <c r="AB1108" s="319" t="str">
        <f ca="1">IFERROR(_xll.TR(MO.Ticker.Thomson,"MAX(TR.Pricehigh)","sdate:#1 edate:#2",,INDEX(MO_SNA_FPStartDate,0,COLUMN()),INDEX(MO_Common_QEndDate,0,COLUMN())),"N/A")</f>
        <v>N/A</v>
      </c>
      <c r="AC1108" s="319" t="str">
        <f ca="1">IFERROR(_xll.TR(MO.Ticker.Thomson,"MAX(TR.Pricehigh)","sdate:#1 edate:#2",,INDEX(MO_SNA_FPStartDate,0,COLUMN()),INDEX(MO_Common_QEndDate,0,COLUMN())),"N/A")</f>
        <v>N/A</v>
      </c>
      <c r="AD1108" s="319" t="str">
        <f ca="1">IFERROR(_xll.TR(MO.Ticker.Thomson,"MAX(TR.Pricehigh)","sdate:#1 edate:#2",,INDEX(MO_SNA_FPStartDate,0,COLUMN()),INDEX(MO_Common_QEndDate,0,COLUMN())),"N/A")</f>
        <v>N/A</v>
      </c>
      <c r="AE1108" s="319" t="str">
        <f ca="1">IFERROR(_xll.TR(MO.Ticker.Thomson,"MAX(TR.Pricehigh)","sdate:#1 edate:#2",,INDEX(MO_SNA_FPStartDate,0,COLUMN()),INDEX(MO_Common_QEndDate,0,COLUMN())),"N/A")</f>
        <v>N/A</v>
      </c>
      <c r="AF1108" s="319" t="str">
        <f ca="1">IFERROR(_xll.TR(MO.Ticker.Thomson,"MAX(TR.Pricehigh)","sdate:#1 edate:#2",,INDEX(MO_SNA_FPStartDate,0,COLUMN()),INDEX(MO_Common_QEndDate,0,COLUMN())),"N/A")</f>
        <v>N/A</v>
      </c>
      <c r="AG1108" s="319" t="str">
        <f ca="1">IFERROR(_xll.TR(MO.Ticker.Thomson,"MAX(TR.Pricehigh)","sdate:#1 edate:#2",,INDEX(MO_SNA_FPStartDate,0,COLUMN()),INDEX(MO_Common_QEndDate,0,COLUMN())),"N/A")</f>
        <v>N/A</v>
      </c>
      <c r="AH1108" s="319" t="str">
        <f ca="1">IFERROR(_xll.TR(MO.Ticker.Thomson,"MAX(TR.Pricehigh)","sdate:#1 edate:#2",,INDEX(MO_SNA_FPStartDate,0,COLUMN()),INDEX(MO_Common_QEndDate,0,COLUMN())),"N/A")</f>
        <v>N/A</v>
      </c>
      <c r="AI1108" s="319" t="str">
        <f ca="1">IFERROR(_xll.TR(MO.Ticker.Thomson,"MAX(TR.Pricehigh)","sdate:#1 edate:#2",,INDEX(MO_SNA_FPStartDate,0,COLUMN()),INDEX(MO_Common_QEndDate,0,COLUMN())),"N/A")</f>
        <v>N/A</v>
      </c>
      <c r="AJ1108" s="319" t="str">
        <f ca="1">IFERROR(_xll.TR(MO.Ticker.Thomson,"MAX(TR.Pricehigh)","sdate:#1 edate:#2",,INDEX(MO_SNA_FPStartDate,0,COLUMN()),INDEX(MO_Common_QEndDate,0,COLUMN())),"N/A")</f>
        <v>N/A</v>
      </c>
      <c r="AK1108" s="319" t="str">
        <f ca="1">IFERROR(_xll.TR(MO.Ticker.Thomson,"MAX(TR.Pricehigh)","sdate:#1 edate:#2",,INDEX(MO_SNA_FPStartDate,0,COLUMN()),INDEX(MO_Common_QEndDate,0,COLUMN())),"N/A")</f>
        <v>N/A</v>
      </c>
      <c r="AL1108" s="319" t="str">
        <f ca="1">IFERROR(_xll.TR(MO.Ticker.Thomson,"MAX(TR.Pricehigh)","sdate:#1 edate:#2",,INDEX(MO_SNA_FPStartDate,0,COLUMN()),INDEX(MO_Common_QEndDate,0,COLUMN())),"N/A")</f>
        <v>N/A</v>
      </c>
      <c r="AM1108" s="319" t="str">
        <f ca="1">IFERROR(_xll.TR(MO.Ticker.Thomson,"MAX(TR.Pricehigh)","sdate:#1 edate:#2",,INDEX(MO_SNA_FPStartDate,0,COLUMN()),INDEX(MO_Common_QEndDate,0,COLUMN())),"N/A")</f>
        <v>N/A</v>
      </c>
      <c r="AN1108" s="319" t="str">
        <f ca="1">IFERROR(_xll.TR(MO.Ticker.Thomson,"MAX(TR.Pricehigh)","sdate:#1 edate:#2",,INDEX(MO_SNA_FPStartDate,0,COLUMN()),INDEX(MO_Common_QEndDate,0,COLUMN())),"N/A")</f>
        <v>N/A</v>
      </c>
      <c r="AO1108" s="319" t="str">
        <f ca="1">IFERROR(_xll.TR(MO.Ticker.Thomson,"MAX(TR.Pricehigh)","sdate:#1 edate:#2",,INDEX(MO_SNA_FPStartDate,0,COLUMN()),INDEX(MO_Common_QEndDate,0,COLUMN())),"N/A")</f>
        <v>N/A</v>
      </c>
      <c r="AP1108" s="319" t="str">
        <f ca="1">IFERROR(_xll.TR(MO.Ticker.Thomson,"MAX(TR.Pricehigh)","sdate:#1 edate:#2",,INDEX(MO_SNA_FPStartDate,0,COLUMN()),INDEX(MO_Common_QEndDate,0,COLUMN())),"N/A")</f>
        <v>N/A</v>
      </c>
      <c r="AQ1108" s="319" t="str">
        <f ca="1">IFERROR(_xll.TR(MO.Ticker.Thomson,"MAX(TR.Pricehigh)","sdate:#1 edate:#2",,INDEX(MO_SNA_FPStartDate,0,COLUMN()),INDEX(MO_Common_QEndDate,0,COLUMN())),"N/A")</f>
        <v>N/A</v>
      </c>
      <c r="AR1108" s="319" t="str">
        <f ca="1">IFERROR(_xll.TR(MO.Ticker.Thomson,"MAX(TR.Pricehigh)","sdate:#1 edate:#2",,INDEX(MO_SNA_FPStartDate,0,COLUMN()),INDEX(MO_Common_QEndDate,0,COLUMN())),"N/A")</f>
        <v>N/A</v>
      </c>
      <c r="AS1108" s="319" t="str">
        <f ca="1">IFERROR(_xll.TR(MO.Ticker.Thomson,"MAX(TR.Pricehigh)","sdate:#1 edate:#2",,INDEX(MO_SNA_FPStartDate,0,COLUMN()),INDEX(MO_Common_QEndDate,0,COLUMN())),"N/A")</f>
        <v>N/A</v>
      </c>
      <c r="AT1108" s="319" t="str">
        <f ca="1">IFERROR(_xll.TR(MO.Ticker.Thomson,"MAX(TR.Pricehigh)","sdate:#1 edate:#2",,INDEX(MO_SNA_FPStartDate,0,COLUMN()),INDEX(MO_Common_QEndDate,0,COLUMN())),"N/A")</f>
        <v>N/A</v>
      </c>
      <c r="AU1108" s="319" t="str">
        <f ca="1">IFERROR(_xll.TR(MO.Ticker.Thomson,"MAX(TR.Pricehigh)","sdate:#1 edate:#2",,INDEX(MO_SNA_FPStartDate,0,COLUMN()),INDEX(MO_Common_QEndDate,0,COLUMN())),"N/A")</f>
        <v>N/A</v>
      </c>
      <c r="AV1108" s="319" t="str">
        <f ca="1">IFERROR(_xll.TR(MO.Ticker.Thomson,"MAX(TR.Pricehigh)","sdate:#1 edate:#2",,INDEX(MO_SNA_FPStartDate,0,COLUMN()),INDEX(MO_Common_QEndDate,0,COLUMN())),"N/A")</f>
        <v>N/A</v>
      </c>
      <c r="AW1108" s="319" t="str">
        <f ca="1">IFERROR(_xll.TR(MO.Ticker.Thomson,"MAX(TR.Pricehigh)","sdate:#1 edate:#2",,INDEX(MO_SNA_FPStartDate,0,COLUMN()),INDEX(MO_Common_QEndDate,0,COLUMN())),"N/A")</f>
        <v>N/A</v>
      </c>
      <c r="AX1108" s="319" t="str">
        <f ca="1">IFERROR(_xll.TR(MO.Ticker.Thomson,"MAX(TR.Pricehigh)","sdate:#1 edate:#2",,INDEX(MO_SNA_FPStartDate,0,COLUMN()),INDEX(MO_Common_QEndDate,0,COLUMN())),"N/A")</f>
        <v>N/A</v>
      </c>
      <c r="AY1108" s="319" t="str">
        <f ca="1">IFERROR(_xll.TR(MO.Ticker.Thomson,"MAX(TR.Pricehigh)","sdate:#1 edate:#2",,INDEX(MO_SNA_FPStartDate,0,COLUMN()),INDEX(MO_Common_QEndDate,0,COLUMN())),"N/A")</f>
        <v>N/A</v>
      </c>
      <c r="AZ1108" s="319" t="str">
        <f ca="1">IFERROR(_xll.TR(MO.Ticker.Thomson,"MAX(TR.Pricehigh)","sdate:#1 edate:#2",,INDEX(MO_SNA_FPStartDate,0,COLUMN()),INDEX(MO_Common_QEndDate,0,COLUMN())),"N/A")</f>
        <v>N/A</v>
      </c>
      <c r="BA1108" s="319" t="str">
        <f ca="1">IFERROR(_xll.TR(MO.Ticker.Thomson,"MAX(TR.Pricehigh)","sdate:#1 edate:#2",,INDEX(MO_SNA_FPStartDate,0,COLUMN()),INDEX(MO_Common_QEndDate,0,COLUMN())),"N/A")</f>
        <v>N/A</v>
      </c>
      <c r="BB1108" s="319" t="str">
        <f ca="1">IFERROR(_xll.TR(MO.Ticker.Thomson,"MAX(TR.Pricehigh)","sdate:#1 edate:#2",,INDEX(MO_SNA_FPStartDate,0,COLUMN()),INDEX(MO_Common_QEndDate,0,COLUMN())),"N/A")</f>
        <v>N/A</v>
      </c>
      <c r="BC1108" s="319" t="str">
        <f ca="1">IFERROR(_xll.TR(MO.Ticker.Thomson,"MAX(TR.Pricehigh)","sdate:#1 edate:#2",,INDEX(MO_SNA_FPStartDate,0,COLUMN()),INDEX(MO_Common_QEndDate,0,COLUMN())),"N/A")</f>
        <v>N/A</v>
      </c>
      <c r="BD1108" s="319" t="str">
        <f ca="1">IFERROR(_xll.TR(MO.Ticker.Thomson,"MAX(TR.Pricehigh)","sdate:#1 edate:#2",,INDEX(MO_SNA_FPStartDate,0,COLUMN()),INDEX(MO_Common_QEndDate,0,COLUMN())),"N/A")</f>
        <v>N/A</v>
      </c>
      <c r="BE1108" s="319" t="str">
        <f ca="1">IFERROR(_xll.TR(MO.Ticker.Thomson,"MAX(TR.Pricehigh)","sdate:#1 edate:#2",,INDEX(MO_SNA_FPStartDate,0,COLUMN()),INDEX(MO_Common_QEndDate,0,COLUMN())),"N/A")</f>
        <v>N/A</v>
      </c>
      <c r="BF1108" s="319" t="str">
        <f ca="1">IFERROR(_xll.TR(MO.Ticker.Thomson,"MAX(TR.Pricehigh)","sdate:#1 edate:#2",,INDEX(MO_SNA_FPStartDate,0,COLUMN()),INDEX(MO_Common_QEndDate,0,COLUMN())),"N/A")</f>
        <v>N/A</v>
      </c>
      <c r="BG1108" s="319" t="str">
        <f ca="1">IFERROR(_xll.TR(MO.Ticker.Thomson,"MAX(TR.Pricehigh)","sdate:#1 edate:#2",,INDEX(MO_SNA_FPStartDate,0,COLUMN()),INDEX(MO_Common_QEndDate,0,COLUMN())),"N/A")</f>
        <v>N/A</v>
      </c>
      <c r="BH1108" s="454" t="str">
        <f ca="1">IFERROR(_xll.TR(MO.Ticker.Thomson,"MAX(TR.Pricehigh)","sdate:#1 edate:#2",,INDEX(MO_SNA_FPStartDate,0,COLUMN()),INDEX(MO_Common_QEndDate,0,COLUMN())),"N/A")</f>
        <v>N/A</v>
      </c>
      <c r="BI1108" s="319" t="str">
        <f ca="1">IFERROR(_xll.TR(MO.Ticker.Thomson,"MAX(TR.Pricehigh)","sdate:#1 edate:#2",,INDEX(MO_SNA_FPStartDate,0,COLUMN()),INDEX(MO_Common_QEndDate,0,COLUMN())),"N/A")</f>
        <v>N/A</v>
      </c>
      <c r="BJ1108" s="319" t="str">
        <f ca="1">IFERROR(_xll.TR(MO.Ticker.Thomson,"MAX(TR.Pricehigh)","sdate:#1 edate:#2",,INDEX(MO_SNA_FPStartDate,0,COLUMN()),INDEX(MO_Common_QEndDate,0,COLUMN())),"N/A")</f>
        <v>N/A</v>
      </c>
      <c r="BK1108" s="319" t="str">
        <f ca="1">IFERROR(_xll.TR(MO.Ticker.Thomson,"MAX(TR.Pricehigh)","sdate:#1 edate:#2",,INDEX(MO_SNA_FPStartDate,0,COLUMN()),INDEX(MO_Common_QEndDate,0,COLUMN())),"N/A")</f>
        <v>N/A</v>
      </c>
      <c r="BL1108" s="319" t="str">
        <f ca="1">IFERROR(_xll.TR(MO.Ticker.Thomson,"MAX(TR.Pricehigh)","sdate:#1 edate:#2",,INDEX(MO_SNA_FPStartDate,0,COLUMN()),INDEX(MO_Common_QEndDate,0,COLUMN())),"N/A")</f>
        <v>N/A</v>
      </c>
      <c r="BM1108" s="319" t="str">
        <f ca="1">IFERROR(_xll.TR(MO.Ticker.Thomson,"MAX(TR.Pricehigh)","sdate:#1 edate:#2",,INDEX(MO_SNA_FPStartDate,0,COLUMN()),INDEX(MO_Common_QEndDate,0,COLUMN())),"N/A")</f>
        <v>N/A</v>
      </c>
      <c r="BN1108" s="319" t="str">
        <f ca="1">IFERROR(_xll.TR(MO.Ticker.Thomson,"MAX(TR.Pricehigh)","sdate:#1 edate:#2",,INDEX(MO_SNA_FPStartDate,0,COLUMN()),INDEX(MO_Common_QEndDate,0,COLUMN())),"N/A")</f>
        <v>N/A</v>
      </c>
      <c r="BO1108" s="319" t="str">
        <f ca="1">IFERROR(_xll.TR(MO.Ticker.Thomson,"MAX(TR.Pricehigh)","sdate:#1 edate:#2",,INDEX(MO_SNA_FPStartDate,0,COLUMN()),INDEX(MO_Common_QEndDate,0,COLUMN())),"N/A")</f>
        <v>N/A</v>
      </c>
      <c r="BP1108" s="319" t="str">
        <f ca="1">IFERROR(_xll.TR(MO.Ticker.Thomson,"MAX(TR.Pricehigh)","sdate:#1 edate:#2",,INDEX(MO_SNA_FPStartDate,0,COLUMN()),INDEX(MO_Common_QEndDate,0,COLUMN())),"N/A")</f>
        <v>N/A</v>
      </c>
      <c r="BQ1108" s="319" t="str">
        <f ca="1">IFERROR(_xll.TR(MO.Ticker.Thomson,"MAX(TR.Pricehigh)","sdate:#1 edate:#2",,INDEX(MO_SNA_FPStartDate,0,COLUMN()),INDEX(MO_Common_QEndDate,0,COLUMN())),"N/A")</f>
        <v>N/A</v>
      </c>
      <c r="BR1108" s="321" t="str">
        <f ca="1">IFERROR(_xll.TR(MO.Ticker.Thomson,"MAX(TR.Pricehigh)","sdate:#1 edate:#2",,INDEX(MO_SNA_FPStartDate,0,COLUMN()),INDEX(MO_Common_QEndDate,0,COLUMN())),"N/A")</f>
        <v>N/A</v>
      </c>
      <c r="BS1108" s="355"/>
    </row>
    <row r="1109" spans="1:71" s="22" customFormat="1" ht="15" hidden="1" outlineLevel="1">
      <c r="A1109" s="298"/>
      <c r="B1109" s="819"/>
      <c r="C1109" s="312"/>
      <c r="D1109" s="312"/>
      <c r="E1109" s="819"/>
      <c r="F1109" s="819"/>
      <c r="G1109" s="819"/>
      <c r="H1109" s="819"/>
      <c r="I1109" s="819"/>
      <c r="J1109" s="819"/>
      <c r="K1109" s="819"/>
      <c r="L1109" s="819"/>
      <c r="M1109" s="819"/>
      <c r="N1109" s="819"/>
      <c r="O1109" s="819"/>
      <c r="P1109" s="819"/>
      <c r="Q1109" s="819"/>
      <c r="R1109" s="819"/>
      <c r="S1109" s="819"/>
      <c r="T1109" s="819"/>
      <c r="U1109" s="819"/>
      <c r="V1109" s="819"/>
      <c r="W1109" s="819"/>
      <c r="X1109" s="819"/>
      <c r="Y1109" s="819"/>
      <c r="Z1109" s="819"/>
      <c r="AA1109" s="819"/>
      <c r="AB1109" s="819"/>
      <c r="AC1109" s="819"/>
      <c r="AD1109" s="819"/>
      <c r="AE1109" s="819"/>
      <c r="AF1109" s="819"/>
      <c r="AG1109" s="819"/>
      <c r="AH1109" s="819"/>
      <c r="AI1109" s="819"/>
      <c r="AJ1109" s="819"/>
      <c r="AK1109" s="819"/>
      <c r="AL1109" s="819"/>
      <c r="AM1109" s="819"/>
      <c r="AN1109" s="819"/>
      <c r="AO1109" s="819"/>
      <c r="AP1109" s="819"/>
      <c r="AQ1109" s="819"/>
      <c r="AR1109" s="819"/>
      <c r="AS1109" s="819"/>
      <c r="AT1109" s="819"/>
      <c r="AU1109" s="819"/>
      <c r="AV1109" s="819"/>
      <c r="AW1109" s="819"/>
      <c r="AX1109" s="819"/>
      <c r="AY1109" s="819"/>
      <c r="AZ1109" s="819"/>
      <c r="BA1109" s="819"/>
      <c r="BB1109" s="819"/>
      <c r="BC1109" s="819"/>
      <c r="BD1109" s="819"/>
      <c r="BE1109" s="819"/>
      <c r="BF1109" s="819"/>
      <c r="BG1109" s="819"/>
      <c r="BH1109" s="820"/>
      <c r="BI1109" s="819"/>
      <c r="BJ1109" s="819"/>
      <c r="BK1109" s="819"/>
      <c r="BL1109" s="819"/>
      <c r="BM1109" s="819"/>
      <c r="BN1109" s="819"/>
      <c r="BO1109" s="819"/>
      <c r="BP1109" s="819"/>
      <c r="BQ1109" s="819"/>
      <c r="BR1109" s="297"/>
      <c r="BS1109" s="351"/>
    </row>
    <row r="1110" spans="1:71" s="322" customFormat="1" ht="15" collapsed="1">
      <c r="A1110" s="318" t="str">
        <f ca="1">"Stock Low: "&amp;IF(OR(MO.RealTimeStockPriceToggle=FALSE,VLOOKUP(MO.DataSourceName,MO_SPT_StockLow_Sources,COLUMN()+2,FALSE)="N/A"),"Real-Time Off Source",MO.DataSourceName)</f>
        <v>Stock Low: Real-Time Off Source</v>
      </c>
      <c r="B1110" s="319"/>
      <c r="C1110" s="320">
        <f ca="1" t="shared" si="2723" ref="C1110:AP1110">IF(OR(MO.RealTimeStockPriceToggle=FALSE,VLOOKUP(MO.DataSourceName,MO_SPT_StockLow_Sources,COLUMN(),FALSE)="N/A"),VLOOKUP("Real-Time Off Source",MO_SPT_StockLow_Sources,COLUMN(),FALSE),VLOOKUP(MO.DataSourceName,MO_SPT_StockLow_Sources,COLUMN(),FALSE))</f>
        <v>13.77</v>
      </c>
      <c r="D1110" s="320">
        <f t="shared" ca="1" si="2723"/>
        <v>26.86</v>
      </c>
      <c r="E1110" s="319">
        <f t="shared" ca="1" si="2723"/>
        <v>22.27</v>
      </c>
      <c r="F1110" s="319">
        <f t="shared" ca="1" si="2723"/>
        <v>26.98</v>
      </c>
      <c r="G1110" s="319">
        <f t="shared" ca="1" si="2723"/>
        <v>40.65</v>
      </c>
      <c r="H1110" s="319">
        <f t="shared" ca="1" si="2723"/>
        <v>49.18</v>
      </c>
      <c r="I1110" s="319">
        <f t="shared" ca="1" si="2723"/>
        <v>54.81</v>
      </c>
      <c r="J1110" s="319">
        <f t="shared" ca="1" si="2723"/>
        <v>56.63</v>
      </c>
      <c r="K1110" s="319">
        <f t="shared" ca="1" si="2723"/>
        <v>59.28</v>
      </c>
      <c r="L1110" s="319">
        <f t="shared" ca="1" si="2723"/>
        <v>49.18</v>
      </c>
      <c r="M1110" s="319">
        <f t="shared" ca="1" si="2723"/>
        <v>68.379999999999995</v>
      </c>
      <c r="N1110" s="319">
        <f t="shared" ca="1" si="2723"/>
        <v>64.620000000000005</v>
      </c>
      <c r="O1110" s="319">
        <f t="shared" ca="1" si="2723"/>
        <v>54.12</v>
      </c>
      <c r="P1110" s="319">
        <f t="shared" ca="1" si="2723"/>
        <v>56.97</v>
      </c>
      <c r="Q1110" s="319">
        <f t="shared" ca="1" si="2723"/>
        <v>54.12</v>
      </c>
      <c r="R1110" s="319">
        <f t="shared" ca="1" si="2723"/>
        <v>56.03</v>
      </c>
      <c r="S1110" s="319">
        <f t="shared" ca="1" si="2723"/>
        <v>64.36</v>
      </c>
      <c r="T1110" s="319">
        <f t="shared" ca="1" si="2723"/>
        <v>67.239999999999995</v>
      </c>
      <c r="U1110" s="319">
        <f t="shared" ca="1" si="2723"/>
        <v>66.55</v>
      </c>
      <c r="V1110" s="319">
        <f t="shared" ca="1" si="2723"/>
        <v>56.03</v>
      </c>
      <c r="W1110" s="319">
        <f t="shared" ca="1" si="2723"/>
        <v>73.040000000000006</v>
      </c>
      <c r="X1110" s="319">
        <f t="shared" ca="1" si="2723"/>
        <v>79.09</v>
      </c>
      <c r="Y1110" s="319">
        <f t="shared" ca="1" si="2723"/>
        <v>85.59</v>
      </c>
      <c r="Z1110" s="319">
        <f t="shared" ca="1" si="2723"/>
        <v>90.62</v>
      </c>
      <c r="AA1110" s="319">
        <f t="shared" ca="1" si="2723"/>
        <v>73.040000000000006</v>
      </c>
      <c r="AB1110" s="319">
        <f t="shared" ca="1" si="2723"/>
        <v>88.306899999999999</v>
      </c>
      <c r="AC1110" s="319">
        <f t="shared" ca="1" si="2723"/>
        <v>89.433199999999999</v>
      </c>
      <c r="AD1110" s="319">
        <f t="shared" ca="1" si="2723"/>
        <v>90.78</v>
      </c>
      <c r="AE1110" s="319">
        <f t="shared" ca="1" si="2723"/>
        <v>77.27</v>
      </c>
      <c r="AF1110" s="319">
        <f t="shared" ca="1" si="2723"/>
        <v>77.27</v>
      </c>
      <c r="AG1110" s="319">
        <f t="shared" ca="1" si="2723"/>
        <v>80.30</v>
      </c>
      <c r="AH1110" s="319">
        <f t="shared" ca="1" si="2723"/>
        <v>94.08</v>
      </c>
      <c r="AI1110" s="319">
        <f t="shared" ca="1" si="2723"/>
        <v>101.20999999999999</v>
      </c>
      <c r="AJ1110" s="319">
        <f t="shared" ca="1" si="2723"/>
        <v>104.95</v>
      </c>
      <c r="AK1110" s="319">
        <f t="shared" ca="1" si="2723"/>
        <v>80.30</v>
      </c>
      <c r="AL1110" s="319">
        <f ca="1">IF(OR(MO.RealTimeStockPriceToggle=FALSE,VLOOKUP(MO.DataSourceName,MO_SPT_StockLow_Sources,COLUMN(),FALSE)="N/A"),VLOOKUP("Real-Time Off Source",MO_SPT_StockLow_Sources,COLUMN(),FALSE),VLOOKUP(MO.DataSourceName,MO_SPT_StockLow_Sources,COLUMN(),FALSE))</f>
        <v>73.23</v>
      </c>
      <c r="AM1110" s="319">
        <f ca="1">IF(OR(MO.RealTimeStockPriceToggle=FALSE,VLOOKUP(MO.DataSourceName,MO_SPT_StockLow_Sources,COLUMN(),FALSE)="N/A"),VLOOKUP("Real-Time Off Source",MO_SPT_StockLow_Sources,COLUMN(),FALSE),VLOOKUP(MO.DataSourceName,MO_SPT_StockLow_Sources,COLUMN(),FALSE))</f>
        <v>85.79</v>
      </c>
      <c r="AN1110" s="319">
        <f ca="1">IF(OR(MO.RealTimeStockPriceToggle=FALSE,VLOOKUP(MO.DataSourceName,MO_SPT_StockLow_Sources,COLUMN(),FALSE)="N/A"),VLOOKUP("Real-Time Off Source",MO_SPT_StockLow_Sources,COLUMN(),FALSE),VLOOKUP(MO.DataSourceName,MO_SPT_StockLow_Sources,COLUMN(),FALSE))</f>
        <v>85.82</v>
      </c>
      <c r="AO1110" s="319">
        <f t="shared" ca="1" si="2723"/>
        <v>88</v>
      </c>
      <c r="AP1110" s="319">
        <f t="shared" ca="1" si="2723"/>
        <v>73.23</v>
      </c>
      <c r="AQ1110" s="319">
        <f ca="1" t="shared" si="2724" ref="AQ1110:AV1110">IF(OR(MO.RealTimeStockPriceToggle=FALSE,VLOOKUP(MO.DataSourceName,MO_SPT_StockLow_Sources,COLUMN(),FALSE)="N/A"),VLOOKUP("Real-Time Off Source",MO_SPT_StockLow_Sources,COLUMN(),FALSE),VLOOKUP(MO.DataSourceName,MO_SPT_StockLow_Sources,COLUMN(),FALSE))</f>
        <v>103.20999999999999</v>
      </c>
      <c r="AR1110" s="319">
        <f t="shared" ca="1" si="2724"/>
        <v>116.03</v>
      </c>
      <c r="AS1110" s="319">
        <f t="shared" ca="1" si="2724"/>
        <v>127.31</v>
      </c>
      <c r="AT1110" s="319">
        <f t="shared" ca="1" si="2724"/>
        <v>107.13</v>
      </c>
      <c r="AU1110" s="319">
        <f t="shared" ca="1" si="2724"/>
        <v>103.20999999999999</v>
      </c>
      <c r="AV1110" s="319">
        <f t="shared" ca="1" si="2724"/>
        <v>117.69</v>
      </c>
      <c r="AW1110" s="319">
        <f ca="1" t="shared" si="2725" ref="AW1110:BJ1110">IF(OR(MO.RealTimeStockPriceToggle=FALSE,VLOOKUP(MO.DataSourceName,MO_SPT_StockLow_Sources,COLUMN(),FALSE)="N/A"),VLOOKUP("Real-Time Off Source",MO_SPT_StockLow_Sources,COLUMN(),FALSE),VLOOKUP(MO.DataSourceName,MO_SPT_StockLow_Sources,COLUMN(),FALSE))</f>
        <v>119.53</v>
      </c>
      <c r="AX1110" s="319">
        <f t="shared" ca="1" si="2725"/>
        <v>113.92</v>
      </c>
      <c r="AY1110" s="319">
        <f t="shared" ca="1" si="2725"/>
        <v>117.70999999999999</v>
      </c>
      <c r="AZ1110" s="319">
        <f t="shared" ca="1" si="2725"/>
        <v>113.92</v>
      </c>
      <c r="BA1110" s="319">
        <f ca="1" t="shared" si="2726" ref="BA1110:BI1110">IF(OR(MO.RealTimeStockPriceToggle=FALSE,VLOOKUP(MO.DataSourceName,MO_SPT_StockLow_Sources,COLUMN(),FALSE)="N/A"),VLOOKUP("Real-Time Off Source",MO_SPT_StockLow_Sources,COLUMN(),FALSE),VLOOKUP(MO.DataSourceName,MO_SPT_StockLow_Sources,COLUMN(),FALSE))</f>
        <v>105.11</v>
      </c>
      <c r="BB1110" s="319">
        <f t="shared" ca="1" si="2726"/>
        <v>107.53</v>
      </c>
      <c r="BC1110" s="319">
        <f t="shared" ca="1" si="2726"/>
        <v>101.18000000000001</v>
      </c>
      <c r="BD1110" s="319">
        <f t="shared" ca="1" si="2726"/>
        <v>109.91</v>
      </c>
      <c r="BE1110" s="319">
        <f t="shared" ca="1" si="2726"/>
        <v>101.18000000000001</v>
      </c>
      <c r="BF1110" s="319">
        <f ca="1">IF(OR(MO.RealTimeStockPriceToggle=FALSE,VLOOKUP(MO.DataSourceName,MO_SPT_StockLow_Sources,COLUMN(),FALSE)="N/A"),VLOOKUP("Real-Time Off Source",MO_SPT_StockLow_Sources,COLUMN(),FALSE),VLOOKUP(MO.DataSourceName,MO_SPT_StockLow_Sources,COLUMN(),FALSE))</f>
        <v>143.81</v>
      </c>
      <c r="BG1110" s="319">
        <f ca="1">IF(OR(MO.RealTimeStockPriceToggle=FALSE,VLOOKUP(MO.DataSourceName,MO_SPT_StockLow_Sources,COLUMN(),FALSE)="N/A"),VLOOKUP("Real-Time Off Source",MO_SPT_StockLow_Sources,COLUMN(),FALSE),VLOOKUP(MO.DataSourceName,MO_SPT_StockLow_Sources,COLUMN(),FALSE))</f>
        <v>157.06999999999999</v>
      </c>
      <c r="BH1110" s="454">
        <f ca="1">IF(OR(MO.RealTimeStockPriceToggle=FALSE,VLOOKUP(MO.DataSourceName,MO_SPT_StockLow_Sources,COLUMN(),FALSE)="N/A"),VLOOKUP("Real-Time Off Source",MO_SPT_StockLow_Sources,COLUMN(),FALSE),VLOOKUP(MO.DataSourceName,MO_SPT_StockLow_Sources,COLUMN(),FALSE))</f>
        <v>158.43000000000001</v>
      </c>
      <c r="BI1110" s="319">
        <f t="shared" ca="1" si="2726"/>
        <v>0</v>
      </c>
      <c r="BJ1110" s="319">
        <f t="shared" ca="1" si="2725"/>
        <v>0</v>
      </c>
      <c r="BK1110" s="319">
        <f ca="1" t="shared" si="2727" ref="BK1110:BR1110">IF(OR(MO.RealTimeStockPriceToggle=FALSE,VLOOKUP(MO.DataSourceName,MO_SPT_StockLow_Sources,COLUMN(),FALSE)="N/A"),VLOOKUP("Real-Time Off Source",MO_SPT_StockLow_Sources,COLUMN(),FALSE),VLOOKUP(MO.DataSourceName,MO_SPT_StockLow_Sources,COLUMN(),FALSE))</f>
        <v>0</v>
      </c>
      <c r="BL1110" s="319">
        <f t="shared" ca="1" si="2727"/>
        <v>0</v>
      </c>
      <c r="BM1110" s="319">
        <f t="shared" ca="1" si="2727"/>
        <v>0</v>
      </c>
      <c r="BN1110" s="319">
        <f t="shared" ca="1" si="2727"/>
        <v>0</v>
      </c>
      <c r="BO1110" s="319">
        <f t="shared" ca="1" si="2727"/>
        <v>0</v>
      </c>
      <c r="BP1110" s="319">
        <f t="shared" ca="1" si="2727"/>
        <v>0</v>
      </c>
      <c r="BQ1110" s="319">
        <f t="shared" ca="1" si="2727"/>
        <v>0</v>
      </c>
      <c r="BR1110" s="321">
        <f t="shared" ca="1" si="2727"/>
        <v>0</v>
      </c>
      <c r="BS1110" s="355"/>
    </row>
    <row r="1111" spans="1:71" s="322" customFormat="1" ht="15" hidden="1" outlineLevel="1">
      <c r="A1111" s="323" t="s">
        <v>242</v>
      </c>
      <c r="B1111" s="319"/>
      <c r="C1111" s="955">
        <v>13.77</v>
      </c>
      <c r="D1111" s="955">
        <v>26.86</v>
      </c>
      <c r="E1111" s="956">
        <v>22.27</v>
      </c>
      <c r="F1111" s="956">
        <v>26.98</v>
      </c>
      <c r="G1111" s="956">
        <v>40.65</v>
      </c>
      <c r="H1111" s="956">
        <v>49.18</v>
      </c>
      <c r="I1111" s="956">
        <v>54.81</v>
      </c>
      <c r="J1111" s="956">
        <v>56.63</v>
      </c>
      <c r="K1111" s="956">
        <v>59.28</v>
      </c>
      <c r="L1111" s="956">
        <v>49.18</v>
      </c>
      <c r="M1111" s="956">
        <v>68.379999999999995</v>
      </c>
      <c r="N1111" s="956">
        <v>64.620000000000005</v>
      </c>
      <c r="O1111" s="956">
        <v>54.12</v>
      </c>
      <c r="P1111" s="956">
        <v>56.97</v>
      </c>
      <c r="Q1111" s="956">
        <v>54.12</v>
      </c>
      <c r="R1111" s="956">
        <v>56.03</v>
      </c>
      <c r="S1111" s="956">
        <v>64.36</v>
      </c>
      <c r="T1111" s="956">
        <v>67.239999999999995</v>
      </c>
      <c r="U1111" s="956">
        <v>66.55</v>
      </c>
      <c r="V1111" s="956">
        <v>56.03</v>
      </c>
      <c r="W1111" s="956">
        <v>73.040000000000006</v>
      </c>
      <c r="X1111" s="956">
        <v>79.09</v>
      </c>
      <c r="Y1111" s="956">
        <v>85.59</v>
      </c>
      <c r="Z1111" s="956">
        <v>90.62</v>
      </c>
      <c r="AA1111" s="956">
        <v>73.040000000000006</v>
      </c>
      <c r="AB1111" s="956">
        <v>88.306899999999999</v>
      </c>
      <c r="AC1111" s="956">
        <v>89.433199999999999</v>
      </c>
      <c r="AD1111" s="956">
        <v>90.78</v>
      </c>
      <c r="AE1111" s="956">
        <v>77.27</v>
      </c>
      <c r="AF1111" s="956">
        <v>77.27</v>
      </c>
      <c r="AG1111" s="956">
        <v>80.30</v>
      </c>
      <c r="AH1111" s="956">
        <v>94.08</v>
      </c>
      <c r="AI1111" s="956">
        <v>101.20999999999999</v>
      </c>
      <c r="AJ1111" s="956">
        <v>104.95</v>
      </c>
      <c r="AK1111" s="956">
        <v>80.30</v>
      </c>
      <c r="AL1111" s="956">
        <v>73.23</v>
      </c>
      <c r="AM1111" s="956">
        <v>85.79</v>
      </c>
      <c r="AN1111" s="956">
        <v>85.82</v>
      </c>
      <c r="AO1111" s="956">
        <v>88</v>
      </c>
      <c r="AP1111" s="956">
        <v>73.23</v>
      </c>
      <c r="AQ1111" s="956">
        <v>103.20999999999999</v>
      </c>
      <c r="AR1111" s="956">
        <v>116.03</v>
      </c>
      <c r="AS1111" s="956">
        <v>127.31</v>
      </c>
      <c r="AT1111" s="956">
        <v>107.13</v>
      </c>
      <c r="AU1111" s="956">
        <v>103.20999999999999</v>
      </c>
      <c r="AV1111" s="956">
        <v>117.69</v>
      </c>
      <c r="AW1111" s="956">
        <v>119.53</v>
      </c>
      <c r="AX1111" s="956">
        <v>113.92</v>
      </c>
      <c r="AY1111" s="956">
        <v>117.70999999999999</v>
      </c>
      <c r="AZ1111" s="956">
        <v>113.92</v>
      </c>
      <c r="BA1111" s="956">
        <v>105.11</v>
      </c>
      <c r="BB1111" s="956">
        <v>107.53</v>
      </c>
      <c r="BC1111" s="956">
        <v>101.18000000000001</v>
      </c>
      <c r="BD1111" s="956">
        <v>109.91</v>
      </c>
      <c r="BE1111" s="956">
        <v>101.18000000000001</v>
      </c>
      <c r="BF1111" s="956">
        <v>143.81</v>
      </c>
      <c r="BG1111" s="956">
        <v>157.06999999999999</v>
      </c>
      <c r="BH1111" s="957">
        <v>158.43000000000001</v>
      </c>
      <c r="BI1111" s="319"/>
      <c r="BJ1111" s="319"/>
      <c r="BK1111" s="319"/>
      <c r="BL1111" s="319"/>
      <c r="BM1111" s="319"/>
      <c r="BN1111" s="319"/>
      <c r="BO1111" s="319"/>
      <c r="BP1111" s="319"/>
      <c r="BQ1111" s="319"/>
      <c r="BR1111" s="321"/>
      <c r="BS1111" s="355"/>
    </row>
    <row r="1112" spans="1:71" s="322" customFormat="1" ht="15" hidden="1" outlineLevel="1">
      <c r="A1112" s="323" t="s">
        <v>7</v>
      </c>
      <c r="B1112" s="319"/>
      <c r="C1112" s="320" t="str">
        <f ca="1">IFERROR(BDP(MO.Ticker.Bloomberg&amp;" Equity","INTERVAL_LOW","MARKET_DATA_OVERRIDE=PX_LAST","START_DATE_OVERRIDE",TEXT(INDEX(MO_SNA_FPStartDate,0,COLUMN()),"YYYYMMDD"),"END_DATE_OVERRIDE",TEXT(INDEX(MO_Common_QEndDate,0,COLUMN()),"YYYYMMDD")),"N/A")</f>
        <v>N/A</v>
      </c>
      <c r="D1112" s="320" t="str">
        <f ca="1">IFERROR(BDP(MO.Ticker.Bloomberg&amp;" Equity","INTERVAL_LOW","MARKET_DATA_OVERRIDE=PX_LAST","START_DATE_OVERRIDE",TEXT(INDEX(MO_SNA_FPStartDate,0,COLUMN()),"YYYYMMDD"),"END_DATE_OVERRIDE",TEXT(INDEX(MO_Common_QEndDate,0,COLUMN()),"YYYYMMDD")),"N/A")</f>
        <v>N/A</v>
      </c>
      <c r="E1112" s="319" t="str">
        <f ca="1">IFERROR(BDP(MO.Ticker.Bloomberg&amp;" Equity","INTERVAL_LOW","MARKET_DATA_OVERRIDE=PX_LAST","START_DATE_OVERRIDE",TEXT(INDEX(MO_SNA_FPStartDate,0,COLUMN()),"YYYYMMDD"),"END_DATE_OVERRIDE",TEXT(INDEX(MO_Common_QEndDate,0,COLUMN()),"YYYYMMDD")),"N/A")</f>
        <v>N/A</v>
      </c>
      <c r="F1112" s="319" t="str">
        <f ca="1">IFERROR(BDP(MO.Ticker.Bloomberg&amp;" Equity","INTERVAL_LOW","MARKET_DATA_OVERRIDE=PX_LAST","START_DATE_OVERRIDE",TEXT(INDEX(MO_SNA_FPStartDate,0,COLUMN()),"YYYYMMDD"),"END_DATE_OVERRIDE",TEXT(INDEX(MO_Common_QEndDate,0,COLUMN()),"YYYYMMDD")),"N/A")</f>
        <v>N/A</v>
      </c>
      <c r="G1112" s="319" t="str">
        <f ca="1">IFERROR(BDP(MO.Ticker.Bloomberg&amp;" Equity","INTERVAL_LOW","MARKET_DATA_OVERRIDE=PX_LAST","START_DATE_OVERRIDE",TEXT(INDEX(MO_SNA_FPStartDate,0,COLUMN()),"YYYYMMDD"),"END_DATE_OVERRIDE",TEXT(INDEX(MO_Common_QEndDate,0,COLUMN()),"YYYYMMDD")),"N/A")</f>
        <v>N/A</v>
      </c>
      <c r="H1112" s="319" t="str">
        <f ca="1">IFERROR(BDP(MO.Ticker.Bloomberg&amp;" Equity","INTERVAL_LOW","MARKET_DATA_OVERRIDE=PX_LAST","START_DATE_OVERRIDE",TEXT(INDEX(MO_SNA_FPStartDate,0,COLUMN()),"YYYYMMDD"),"END_DATE_OVERRIDE",TEXT(INDEX(MO_Common_QEndDate,0,COLUMN()),"YYYYMMDD")),"N/A")</f>
        <v>N/A</v>
      </c>
      <c r="I1112" s="319" t="str">
        <f ca="1">IFERROR(BDP(MO.Ticker.Bloomberg&amp;" Equity","INTERVAL_LOW","MARKET_DATA_OVERRIDE=PX_LAST","START_DATE_OVERRIDE",TEXT(INDEX(MO_SNA_FPStartDate,0,COLUMN()),"YYYYMMDD"),"END_DATE_OVERRIDE",TEXT(INDEX(MO_Common_QEndDate,0,COLUMN()),"YYYYMMDD")),"N/A")</f>
        <v>N/A</v>
      </c>
      <c r="J1112" s="319" t="str">
        <f ca="1">IFERROR(BDP(MO.Ticker.Bloomberg&amp;" Equity","INTERVAL_LOW","MARKET_DATA_OVERRIDE=PX_LAST","START_DATE_OVERRIDE",TEXT(INDEX(MO_SNA_FPStartDate,0,COLUMN()),"YYYYMMDD"),"END_DATE_OVERRIDE",TEXT(INDEX(MO_Common_QEndDate,0,COLUMN()),"YYYYMMDD")),"N/A")</f>
        <v>N/A</v>
      </c>
      <c r="K1112" s="319" t="str">
        <f ca="1">IFERROR(BDP(MO.Ticker.Bloomberg&amp;" Equity","INTERVAL_LOW","MARKET_DATA_OVERRIDE=PX_LAST","START_DATE_OVERRIDE",TEXT(INDEX(MO_SNA_FPStartDate,0,COLUMN()),"YYYYMMDD"),"END_DATE_OVERRIDE",TEXT(INDEX(MO_Common_QEndDate,0,COLUMN()),"YYYYMMDD")),"N/A")</f>
        <v>N/A</v>
      </c>
      <c r="L1112" s="319" t="str">
        <f ca="1">IFERROR(BDP(MO.Ticker.Bloomberg&amp;" Equity","INTERVAL_LOW","MARKET_DATA_OVERRIDE=PX_LAST","START_DATE_OVERRIDE",TEXT(INDEX(MO_SNA_FPStartDate,0,COLUMN()),"YYYYMMDD"),"END_DATE_OVERRIDE",TEXT(INDEX(MO_Common_QEndDate,0,COLUMN()),"YYYYMMDD")),"N/A")</f>
        <v>N/A</v>
      </c>
      <c r="M1112" s="319" t="str">
        <f ca="1">IFERROR(BDP(MO.Ticker.Bloomberg&amp;" Equity","INTERVAL_LOW","MARKET_DATA_OVERRIDE=PX_LAST","START_DATE_OVERRIDE",TEXT(INDEX(MO_SNA_FPStartDate,0,COLUMN()),"YYYYMMDD"),"END_DATE_OVERRIDE",TEXT(INDEX(MO_Common_QEndDate,0,COLUMN()),"YYYYMMDD")),"N/A")</f>
        <v>N/A</v>
      </c>
      <c r="N1112" s="319" t="str">
        <f ca="1">IFERROR(BDP(MO.Ticker.Bloomberg&amp;" Equity","INTERVAL_LOW","MARKET_DATA_OVERRIDE=PX_LAST","START_DATE_OVERRIDE",TEXT(INDEX(MO_SNA_FPStartDate,0,COLUMN()),"YYYYMMDD"),"END_DATE_OVERRIDE",TEXT(INDEX(MO_Common_QEndDate,0,COLUMN()),"YYYYMMDD")),"N/A")</f>
        <v>N/A</v>
      </c>
      <c r="O1112" s="319" t="str">
        <f ca="1">IFERROR(BDP(MO.Ticker.Bloomberg&amp;" Equity","INTERVAL_LOW","MARKET_DATA_OVERRIDE=PX_LAST","START_DATE_OVERRIDE",TEXT(INDEX(MO_SNA_FPStartDate,0,COLUMN()),"YYYYMMDD"),"END_DATE_OVERRIDE",TEXT(INDEX(MO_Common_QEndDate,0,COLUMN()),"YYYYMMDD")),"N/A")</f>
        <v>N/A</v>
      </c>
      <c r="P1112" s="319" t="str">
        <f ca="1">IFERROR(BDP(MO.Ticker.Bloomberg&amp;" Equity","INTERVAL_LOW","MARKET_DATA_OVERRIDE=PX_LAST","START_DATE_OVERRIDE",TEXT(INDEX(MO_SNA_FPStartDate,0,COLUMN()),"YYYYMMDD"),"END_DATE_OVERRIDE",TEXT(INDEX(MO_Common_QEndDate,0,COLUMN()),"YYYYMMDD")),"N/A")</f>
        <v>N/A</v>
      </c>
      <c r="Q1112" s="319" t="str">
        <f ca="1">IFERROR(BDP(MO.Ticker.Bloomberg&amp;" Equity","INTERVAL_LOW","MARKET_DATA_OVERRIDE=PX_LAST","START_DATE_OVERRIDE",TEXT(INDEX(MO_SNA_FPStartDate,0,COLUMN()),"YYYYMMDD"),"END_DATE_OVERRIDE",TEXT(INDEX(MO_Common_QEndDate,0,COLUMN()),"YYYYMMDD")),"N/A")</f>
        <v>N/A</v>
      </c>
      <c r="R1112" s="319" t="str">
        <f ca="1">IFERROR(BDP(MO.Ticker.Bloomberg&amp;" Equity","INTERVAL_LOW","MARKET_DATA_OVERRIDE=PX_LAST","START_DATE_OVERRIDE",TEXT(INDEX(MO_SNA_FPStartDate,0,COLUMN()),"YYYYMMDD"),"END_DATE_OVERRIDE",TEXT(INDEX(MO_Common_QEndDate,0,COLUMN()),"YYYYMMDD")),"N/A")</f>
        <v>N/A</v>
      </c>
      <c r="S1112" s="319" t="str">
        <f ca="1">IFERROR(BDP(MO.Ticker.Bloomberg&amp;" Equity","INTERVAL_LOW","MARKET_DATA_OVERRIDE=PX_LAST","START_DATE_OVERRIDE",TEXT(INDEX(MO_SNA_FPStartDate,0,COLUMN()),"YYYYMMDD"),"END_DATE_OVERRIDE",TEXT(INDEX(MO_Common_QEndDate,0,COLUMN()),"YYYYMMDD")),"N/A")</f>
        <v>N/A</v>
      </c>
      <c r="T1112" s="319" t="str">
        <f ca="1">IFERROR(BDP(MO.Ticker.Bloomberg&amp;" Equity","INTERVAL_LOW","MARKET_DATA_OVERRIDE=PX_LAST","START_DATE_OVERRIDE",TEXT(INDEX(MO_SNA_FPStartDate,0,COLUMN()),"YYYYMMDD"),"END_DATE_OVERRIDE",TEXT(INDEX(MO_Common_QEndDate,0,COLUMN()),"YYYYMMDD")),"N/A")</f>
        <v>N/A</v>
      </c>
      <c r="U1112" s="319" t="str">
        <f ca="1">IFERROR(BDP(MO.Ticker.Bloomberg&amp;" Equity","INTERVAL_LOW","MARKET_DATA_OVERRIDE=PX_LAST","START_DATE_OVERRIDE",TEXT(INDEX(MO_SNA_FPStartDate,0,COLUMN()),"YYYYMMDD"),"END_DATE_OVERRIDE",TEXT(INDEX(MO_Common_QEndDate,0,COLUMN()),"YYYYMMDD")),"N/A")</f>
        <v>N/A</v>
      </c>
      <c r="V1112" s="319" t="str">
        <f ca="1">IFERROR(BDP(MO.Ticker.Bloomberg&amp;" Equity","INTERVAL_LOW","MARKET_DATA_OVERRIDE=PX_LAST","START_DATE_OVERRIDE",TEXT(INDEX(MO_SNA_FPStartDate,0,COLUMN()),"YYYYMMDD"),"END_DATE_OVERRIDE",TEXT(INDEX(MO_Common_QEndDate,0,COLUMN()),"YYYYMMDD")),"N/A")</f>
        <v>N/A</v>
      </c>
      <c r="W1112" s="319" t="str">
        <f ca="1">IFERROR(BDP(MO.Ticker.Bloomberg&amp;" Equity","INTERVAL_LOW","MARKET_DATA_OVERRIDE=PX_LAST","START_DATE_OVERRIDE",TEXT(INDEX(MO_SNA_FPStartDate,0,COLUMN()),"YYYYMMDD"),"END_DATE_OVERRIDE",TEXT(INDEX(MO_Common_QEndDate,0,COLUMN()),"YYYYMMDD")),"N/A")</f>
        <v>N/A</v>
      </c>
      <c r="X1112" s="319" t="str">
        <f ca="1">IFERROR(BDP(MO.Ticker.Bloomberg&amp;" Equity","INTERVAL_LOW","MARKET_DATA_OVERRIDE=PX_LAST","START_DATE_OVERRIDE",TEXT(INDEX(MO_SNA_FPStartDate,0,COLUMN()),"YYYYMMDD"),"END_DATE_OVERRIDE",TEXT(INDEX(MO_Common_QEndDate,0,COLUMN()),"YYYYMMDD")),"N/A")</f>
        <v>N/A</v>
      </c>
      <c r="Y1112" s="319" t="str">
        <f ca="1">IFERROR(BDP(MO.Ticker.Bloomberg&amp;" Equity","INTERVAL_LOW","MARKET_DATA_OVERRIDE=PX_LAST","START_DATE_OVERRIDE",TEXT(INDEX(MO_SNA_FPStartDate,0,COLUMN()),"YYYYMMDD"),"END_DATE_OVERRIDE",TEXT(INDEX(MO_Common_QEndDate,0,COLUMN()),"YYYYMMDD")),"N/A")</f>
        <v>N/A</v>
      </c>
      <c r="Z1112" s="319" t="str">
        <f ca="1">IFERROR(BDP(MO.Ticker.Bloomberg&amp;" Equity","INTERVAL_LOW","MARKET_DATA_OVERRIDE=PX_LAST","START_DATE_OVERRIDE",TEXT(INDEX(MO_SNA_FPStartDate,0,COLUMN()),"YYYYMMDD"),"END_DATE_OVERRIDE",TEXT(INDEX(MO_Common_QEndDate,0,COLUMN()),"YYYYMMDD")),"N/A")</f>
        <v>N/A</v>
      </c>
      <c r="AA1112" s="319" t="str">
        <f ca="1">IFERROR(BDP(MO.Ticker.Bloomberg&amp;" Equity","INTERVAL_LOW","MARKET_DATA_OVERRIDE=PX_LAST","START_DATE_OVERRIDE",TEXT(INDEX(MO_SNA_FPStartDate,0,COLUMN()),"YYYYMMDD"),"END_DATE_OVERRIDE",TEXT(INDEX(MO_Common_QEndDate,0,COLUMN()),"YYYYMMDD")),"N/A")</f>
        <v>N/A</v>
      </c>
      <c r="AB1112" s="319" t="str">
        <f ca="1">IFERROR(BDP(MO.Ticker.Bloomberg&amp;" Equity","INTERVAL_LOW","MARKET_DATA_OVERRIDE=PX_LAST","START_DATE_OVERRIDE",TEXT(INDEX(MO_SNA_FPStartDate,0,COLUMN()),"YYYYMMDD"),"END_DATE_OVERRIDE",TEXT(INDEX(MO_Common_QEndDate,0,COLUMN()),"YYYYMMDD")),"N/A")</f>
        <v>N/A</v>
      </c>
      <c r="AC1112" s="319" t="str">
        <f ca="1">IFERROR(BDP(MO.Ticker.Bloomberg&amp;" Equity","INTERVAL_LOW","MARKET_DATA_OVERRIDE=PX_LAST","START_DATE_OVERRIDE",TEXT(INDEX(MO_SNA_FPStartDate,0,COLUMN()),"YYYYMMDD"),"END_DATE_OVERRIDE",TEXT(INDEX(MO_Common_QEndDate,0,COLUMN()),"YYYYMMDD")),"N/A")</f>
        <v>N/A</v>
      </c>
      <c r="AD1112" s="319" t="str">
        <f ca="1">IFERROR(BDP(MO.Ticker.Bloomberg&amp;" Equity","INTERVAL_LOW","MARKET_DATA_OVERRIDE=PX_LAST","START_DATE_OVERRIDE",TEXT(INDEX(MO_SNA_FPStartDate,0,COLUMN()),"YYYYMMDD"),"END_DATE_OVERRIDE",TEXT(INDEX(MO_Common_QEndDate,0,COLUMN()),"YYYYMMDD")),"N/A")</f>
        <v>N/A</v>
      </c>
      <c r="AE1112" s="319" t="str">
        <f ca="1">IFERROR(BDP(MO.Ticker.Bloomberg&amp;" Equity","INTERVAL_LOW","MARKET_DATA_OVERRIDE=PX_LAST","START_DATE_OVERRIDE",TEXT(INDEX(MO_SNA_FPStartDate,0,COLUMN()),"YYYYMMDD"),"END_DATE_OVERRIDE",TEXT(INDEX(MO_Common_QEndDate,0,COLUMN()),"YYYYMMDD")),"N/A")</f>
        <v>N/A</v>
      </c>
      <c r="AF1112" s="319" t="str">
        <f ca="1">IFERROR(BDP(MO.Ticker.Bloomberg&amp;" Equity","INTERVAL_LOW","MARKET_DATA_OVERRIDE=PX_LAST","START_DATE_OVERRIDE",TEXT(INDEX(MO_SNA_FPStartDate,0,COLUMN()),"YYYYMMDD"),"END_DATE_OVERRIDE",TEXT(INDEX(MO_Common_QEndDate,0,COLUMN()),"YYYYMMDD")),"N/A")</f>
        <v>N/A</v>
      </c>
      <c r="AG1112" s="319" t="str">
        <f ca="1">IFERROR(BDP(MO.Ticker.Bloomberg&amp;" Equity","INTERVAL_LOW","MARKET_DATA_OVERRIDE=PX_LAST","START_DATE_OVERRIDE",TEXT(INDEX(MO_SNA_FPStartDate,0,COLUMN()),"YYYYMMDD"),"END_DATE_OVERRIDE",TEXT(INDEX(MO_Common_QEndDate,0,COLUMN()),"YYYYMMDD")),"N/A")</f>
        <v>N/A</v>
      </c>
      <c r="AH1112" s="319" t="str">
        <f ca="1">IFERROR(BDP(MO.Ticker.Bloomberg&amp;" Equity","INTERVAL_LOW","MARKET_DATA_OVERRIDE=PX_LAST","START_DATE_OVERRIDE",TEXT(INDEX(MO_SNA_FPStartDate,0,COLUMN()),"YYYYMMDD"),"END_DATE_OVERRIDE",TEXT(INDEX(MO_Common_QEndDate,0,COLUMN()),"YYYYMMDD")),"N/A")</f>
        <v>N/A</v>
      </c>
      <c r="AI1112" s="319" t="str">
        <f ca="1">IFERROR(BDP(MO.Ticker.Bloomberg&amp;" Equity","INTERVAL_LOW","MARKET_DATA_OVERRIDE=PX_LAST","START_DATE_OVERRIDE",TEXT(INDEX(MO_SNA_FPStartDate,0,COLUMN()),"YYYYMMDD"),"END_DATE_OVERRIDE",TEXT(INDEX(MO_Common_QEndDate,0,COLUMN()),"YYYYMMDD")),"N/A")</f>
        <v>N/A</v>
      </c>
      <c r="AJ1112" s="319" t="str">
        <f ca="1">IFERROR(BDP(MO.Ticker.Bloomberg&amp;" Equity","INTERVAL_LOW","MARKET_DATA_OVERRIDE=PX_LAST","START_DATE_OVERRIDE",TEXT(INDEX(MO_SNA_FPStartDate,0,COLUMN()),"YYYYMMDD"),"END_DATE_OVERRIDE",TEXT(INDEX(MO_Common_QEndDate,0,COLUMN()),"YYYYMMDD")),"N/A")</f>
        <v>N/A</v>
      </c>
      <c r="AK1112" s="319" t="str">
        <f ca="1">IFERROR(BDP(MO.Ticker.Bloomberg&amp;" Equity","INTERVAL_LOW","MARKET_DATA_OVERRIDE=PX_LAST","START_DATE_OVERRIDE",TEXT(INDEX(MO_SNA_FPStartDate,0,COLUMN()),"YYYYMMDD"),"END_DATE_OVERRIDE",TEXT(INDEX(MO_Common_QEndDate,0,COLUMN()),"YYYYMMDD")),"N/A")</f>
        <v>N/A</v>
      </c>
      <c r="AL1112" s="319" t="str">
        <f ca="1">IFERROR(BDP(MO.Ticker.Bloomberg&amp;" Equity","INTERVAL_LOW","MARKET_DATA_OVERRIDE=PX_LAST","START_DATE_OVERRIDE",TEXT(INDEX(MO_SNA_FPStartDate,0,COLUMN()),"YYYYMMDD"),"END_DATE_OVERRIDE",TEXT(INDEX(MO_Common_QEndDate,0,COLUMN()),"YYYYMMDD")),"N/A")</f>
        <v>N/A</v>
      </c>
      <c r="AM1112" s="319" t="str">
        <f ca="1">IFERROR(BDP(MO.Ticker.Bloomberg&amp;" Equity","INTERVAL_LOW","MARKET_DATA_OVERRIDE=PX_LAST","START_DATE_OVERRIDE",TEXT(INDEX(MO_SNA_FPStartDate,0,COLUMN()),"YYYYMMDD"),"END_DATE_OVERRIDE",TEXT(INDEX(MO_Common_QEndDate,0,COLUMN()),"YYYYMMDD")),"N/A")</f>
        <v>N/A</v>
      </c>
      <c r="AN1112" s="319" t="str">
        <f ca="1">IFERROR(BDP(MO.Ticker.Bloomberg&amp;" Equity","INTERVAL_LOW","MARKET_DATA_OVERRIDE=PX_LAST","START_DATE_OVERRIDE",TEXT(INDEX(MO_SNA_FPStartDate,0,COLUMN()),"YYYYMMDD"),"END_DATE_OVERRIDE",TEXT(INDEX(MO_Common_QEndDate,0,COLUMN()),"YYYYMMDD")),"N/A")</f>
        <v>N/A</v>
      </c>
      <c r="AO1112" s="319" t="str">
        <f ca="1">IFERROR(BDP(MO.Ticker.Bloomberg&amp;" Equity","INTERVAL_LOW","MARKET_DATA_OVERRIDE=PX_LAST","START_DATE_OVERRIDE",TEXT(INDEX(MO_SNA_FPStartDate,0,COLUMN()),"YYYYMMDD"),"END_DATE_OVERRIDE",TEXT(INDEX(MO_Common_QEndDate,0,COLUMN()),"YYYYMMDD")),"N/A")</f>
        <v>N/A</v>
      </c>
      <c r="AP1112" s="319" t="str">
        <f ca="1">IFERROR(BDP(MO.Ticker.Bloomberg&amp;" Equity","INTERVAL_LOW","MARKET_DATA_OVERRIDE=PX_LAST","START_DATE_OVERRIDE",TEXT(INDEX(MO_SNA_FPStartDate,0,COLUMN()),"YYYYMMDD"),"END_DATE_OVERRIDE",TEXT(INDEX(MO_Common_QEndDate,0,COLUMN()),"YYYYMMDD")),"N/A")</f>
        <v>N/A</v>
      </c>
      <c r="AQ1112" s="319" t="str">
        <f ca="1">IFERROR(BDP(MO.Ticker.Bloomberg&amp;" Equity","INTERVAL_LOW","MARKET_DATA_OVERRIDE=PX_LAST","START_DATE_OVERRIDE",TEXT(INDEX(MO_SNA_FPStartDate,0,COLUMN()),"YYYYMMDD"),"END_DATE_OVERRIDE",TEXT(INDEX(MO_Common_QEndDate,0,COLUMN()),"YYYYMMDD")),"N/A")</f>
        <v>N/A</v>
      </c>
      <c r="AR1112" s="319" t="str">
        <f ca="1">IFERROR(BDP(MO.Ticker.Bloomberg&amp;" Equity","INTERVAL_LOW","MARKET_DATA_OVERRIDE=PX_LAST","START_DATE_OVERRIDE",TEXT(INDEX(MO_SNA_FPStartDate,0,COLUMN()),"YYYYMMDD"),"END_DATE_OVERRIDE",TEXT(INDEX(MO_Common_QEndDate,0,COLUMN()),"YYYYMMDD")),"N/A")</f>
        <v>N/A</v>
      </c>
      <c r="AS1112" s="319" t="str">
        <f ca="1">IFERROR(BDP(MO.Ticker.Bloomberg&amp;" Equity","INTERVAL_LOW","MARKET_DATA_OVERRIDE=PX_LAST","START_DATE_OVERRIDE",TEXT(INDEX(MO_SNA_FPStartDate,0,COLUMN()),"YYYYMMDD"),"END_DATE_OVERRIDE",TEXT(INDEX(MO_Common_QEndDate,0,COLUMN()),"YYYYMMDD")),"N/A")</f>
        <v>N/A</v>
      </c>
      <c r="AT1112" s="319" t="str">
        <f ca="1">IFERROR(BDP(MO.Ticker.Bloomberg&amp;" Equity","INTERVAL_LOW","MARKET_DATA_OVERRIDE=PX_LAST","START_DATE_OVERRIDE",TEXT(INDEX(MO_SNA_FPStartDate,0,COLUMN()),"YYYYMMDD"),"END_DATE_OVERRIDE",TEXT(INDEX(MO_Common_QEndDate,0,COLUMN()),"YYYYMMDD")),"N/A")</f>
        <v>N/A</v>
      </c>
      <c r="AU1112" s="319" t="str">
        <f ca="1">IFERROR(BDP(MO.Ticker.Bloomberg&amp;" Equity","INTERVAL_LOW","MARKET_DATA_OVERRIDE=PX_LAST","START_DATE_OVERRIDE",TEXT(INDEX(MO_SNA_FPStartDate,0,COLUMN()),"YYYYMMDD"),"END_DATE_OVERRIDE",TEXT(INDEX(MO_Common_QEndDate,0,COLUMN()),"YYYYMMDD")),"N/A")</f>
        <v>N/A</v>
      </c>
      <c r="AV1112" s="319" t="str">
        <f ca="1">IFERROR(BDP(MO.Ticker.Bloomberg&amp;" Equity","INTERVAL_LOW","MARKET_DATA_OVERRIDE=PX_LAST","START_DATE_OVERRIDE",TEXT(INDEX(MO_SNA_FPStartDate,0,COLUMN()),"YYYYMMDD"),"END_DATE_OVERRIDE",TEXT(INDEX(MO_Common_QEndDate,0,COLUMN()),"YYYYMMDD")),"N/A")</f>
        <v>N/A</v>
      </c>
      <c r="AW1112" s="319" t="str">
        <f ca="1">IFERROR(BDP(MO.Ticker.Bloomberg&amp;" Equity","INTERVAL_LOW","MARKET_DATA_OVERRIDE=PX_LAST","START_DATE_OVERRIDE",TEXT(INDEX(MO_SNA_FPStartDate,0,COLUMN()),"YYYYMMDD"),"END_DATE_OVERRIDE",TEXT(INDEX(MO_Common_QEndDate,0,COLUMN()),"YYYYMMDD")),"N/A")</f>
        <v>N/A</v>
      </c>
      <c r="AX1112" s="319" t="str">
        <f ca="1">IFERROR(BDP(MO.Ticker.Bloomberg&amp;" Equity","INTERVAL_LOW","MARKET_DATA_OVERRIDE=PX_LAST","START_DATE_OVERRIDE",TEXT(INDEX(MO_SNA_FPStartDate,0,COLUMN()),"YYYYMMDD"),"END_DATE_OVERRIDE",TEXT(INDEX(MO_Common_QEndDate,0,COLUMN()),"YYYYMMDD")),"N/A")</f>
        <v>N/A</v>
      </c>
      <c r="AY1112" s="319" t="str">
        <f ca="1">IFERROR(BDP(MO.Ticker.Bloomberg&amp;" Equity","INTERVAL_LOW","MARKET_DATA_OVERRIDE=PX_LAST","START_DATE_OVERRIDE",TEXT(INDEX(MO_SNA_FPStartDate,0,COLUMN()),"YYYYMMDD"),"END_DATE_OVERRIDE",TEXT(INDEX(MO_Common_QEndDate,0,COLUMN()),"YYYYMMDD")),"N/A")</f>
        <v>N/A</v>
      </c>
      <c r="AZ1112" s="319" t="str">
        <f ca="1">IFERROR(BDP(MO.Ticker.Bloomberg&amp;" Equity","INTERVAL_LOW","MARKET_DATA_OVERRIDE=PX_LAST","START_DATE_OVERRIDE",TEXT(INDEX(MO_SNA_FPStartDate,0,COLUMN()),"YYYYMMDD"),"END_DATE_OVERRIDE",TEXT(INDEX(MO_Common_QEndDate,0,COLUMN()),"YYYYMMDD")),"N/A")</f>
        <v>N/A</v>
      </c>
      <c r="BA1112" s="319" t="str">
        <f ca="1">IFERROR(BDP(MO.Ticker.Bloomberg&amp;" Equity","INTERVAL_LOW","MARKET_DATA_OVERRIDE=PX_LAST","START_DATE_OVERRIDE",TEXT(INDEX(MO_SNA_FPStartDate,0,COLUMN()),"YYYYMMDD"),"END_DATE_OVERRIDE",TEXT(INDEX(MO_Common_QEndDate,0,COLUMN()),"YYYYMMDD")),"N/A")</f>
        <v>N/A</v>
      </c>
      <c r="BB1112" s="319" t="str">
        <f ca="1">IFERROR(BDP(MO.Ticker.Bloomberg&amp;" Equity","INTERVAL_LOW","MARKET_DATA_OVERRIDE=PX_LAST","START_DATE_OVERRIDE",TEXT(INDEX(MO_SNA_FPStartDate,0,COLUMN()),"YYYYMMDD"),"END_DATE_OVERRIDE",TEXT(INDEX(MO_Common_QEndDate,0,COLUMN()),"YYYYMMDD")),"N/A")</f>
        <v>N/A</v>
      </c>
      <c r="BC1112" s="319" t="str">
        <f ca="1">IFERROR(BDP(MO.Ticker.Bloomberg&amp;" Equity","INTERVAL_LOW","MARKET_DATA_OVERRIDE=PX_LAST","START_DATE_OVERRIDE",TEXT(INDEX(MO_SNA_FPStartDate,0,COLUMN()),"YYYYMMDD"),"END_DATE_OVERRIDE",TEXT(INDEX(MO_Common_QEndDate,0,COLUMN()),"YYYYMMDD")),"N/A")</f>
        <v>N/A</v>
      </c>
      <c r="BD1112" s="319" t="str">
        <f ca="1">IFERROR(BDP(MO.Ticker.Bloomberg&amp;" Equity","INTERVAL_LOW","MARKET_DATA_OVERRIDE=PX_LAST","START_DATE_OVERRIDE",TEXT(INDEX(MO_SNA_FPStartDate,0,COLUMN()),"YYYYMMDD"),"END_DATE_OVERRIDE",TEXT(INDEX(MO_Common_QEndDate,0,COLUMN()),"YYYYMMDD")),"N/A")</f>
        <v>N/A</v>
      </c>
      <c r="BE1112" s="319" t="str">
        <f ca="1">IFERROR(BDP(MO.Ticker.Bloomberg&amp;" Equity","INTERVAL_LOW","MARKET_DATA_OVERRIDE=PX_LAST","START_DATE_OVERRIDE",TEXT(INDEX(MO_SNA_FPStartDate,0,COLUMN()),"YYYYMMDD"),"END_DATE_OVERRIDE",TEXT(INDEX(MO_Common_QEndDate,0,COLUMN()),"YYYYMMDD")),"N/A")</f>
        <v>N/A</v>
      </c>
      <c r="BF1112" s="319" t="str">
        <f ca="1">IFERROR(BDP(MO.Ticker.Bloomberg&amp;" Equity","INTERVAL_LOW","MARKET_DATA_OVERRIDE=PX_LAST","START_DATE_OVERRIDE",TEXT(INDEX(MO_SNA_FPStartDate,0,COLUMN()),"YYYYMMDD"),"END_DATE_OVERRIDE",TEXT(INDEX(MO_Common_QEndDate,0,COLUMN()),"YYYYMMDD")),"N/A")</f>
        <v>N/A</v>
      </c>
      <c r="BG1112" s="319" t="str">
        <f ca="1">IFERROR(BDP(MO.Ticker.Bloomberg&amp;" Equity","INTERVAL_LOW","MARKET_DATA_OVERRIDE=PX_LAST","START_DATE_OVERRIDE",TEXT(INDEX(MO_SNA_FPStartDate,0,COLUMN()),"YYYYMMDD"),"END_DATE_OVERRIDE",TEXT(INDEX(MO_Common_QEndDate,0,COLUMN()),"YYYYMMDD")),"N/A")</f>
        <v>N/A</v>
      </c>
      <c r="BH1112" s="454" t="str">
        <f ca="1">IFERROR(BDP(MO.Ticker.Bloomberg&amp;" Equity","INTERVAL_LOW","MARKET_DATA_OVERRIDE=PX_LAST","START_DATE_OVERRIDE",TEXT(INDEX(MO_SNA_FPStartDate,0,COLUMN()),"YYYYMMDD"),"END_DATE_OVERRIDE",TEXT(INDEX(MO_Common_QEndDate,0,COLUMN()),"YYYYMMDD")),"N/A")</f>
        <v>N/A</v>
      </c>
      <c r="BI1112" s="319" t="str">
        <f ca="1">IFERROR(BDP(MO.Ticker.Bloomberg&amp;" Equity","INTERVAL_LOW","MARKET_DATA_OVERRIDE=PX_LAST","START_DATE_OVERRIDE",TEXT(INDEX(MO_SNA_FPStartDate,0,COLUMN()),"YYYYMMDD"),"END_DATE_OVERRIDE",TEXT(INDEX(MO_Common_QEndDate,0,COLUMN()),"YYYYMMDD")),"N/A")</f>
        <v>N/A</v>
      </c>
      <c r="BJ1112" s="319" t="str">
        <f ca="1">IFERROR(BDP(MO.Ticker.Bloomberg&amp;" Equity","INTERVAL_LOW","MARKET_DATA_OVERRIDE=PX_LAST","START_DATE_OVERRIDE",TEXT(INDEX(MO_SNA_FPStartDate,0,COLUMN()),"YYYYMMDD"),"END_DATE_OVERRIDE",TEXT(INDEX(MO_Common_QEndDate,0,COLUMN()),"YYYYMMDD")),"N/A")</f>
        <v>N/A</v>
      </c>
      <c r="BK1112" s="319" t="str">
        <f ca="1">IFERROR(BDP(MO.Ticker.Bloomberg&amp;" Equity","INTERVAL_LOW","MARKET_DATA_OVERRIDE=PX_LAST","START_DATE_OVERRIDE",TEXT(INDEX(MO_SNA_FPStartDate,0,COLUMN()),"YYYYMMDD"),"END_DATE_OVERRIDE",TEXT(INDEX(MO_Common_QEndDate,0,COLUMN()),"YYYYMMDD")),"N/A")</f>
        <v>N/A</v>
      </c>
      <c r="BL1112" s="319" t="str">
        <f ca="1">IFERROR(BDP(MO.Ticker.Bloomberg&amp;" Equity","INTERVAL_LOW","MARKET_DATA_OVERRIDE=PX_LAST","START_DATE_OVERRIDE",TEXT(INDEX(MO_SNA_FPStartDate,0,COLUMN()),"YYYYMMDD"),"END_DATE_OVERRIDE",TEXT(INDEX(MO_Common_QEndDate,0,COLUMN()),"YYYYMMDD")),"N/A")</f>
        <v>N/A</v>
      </c>
      <c r="BM1112" s="319" t="str">
        <f ca="1">IFERROR(BDP(MO.Ticker.Bloomberg&amp;" Equity","INTERVAL_LOW","MARKET_DATA_OVERRIDE=PX_LAST","START_DATE_OVERRIDE",TEXT(INDEX(MO_SNA_FPStartDate,0,COLUMN()),"YYYYMMDD"),"END_DATE_OVERRIDE",TEXT(INDEX(MO_Common_QEndDate,0,COLUMN()),"YYYYMMDD")),"N/A")</f>
        <v>N/A</v>
      </c>
      <c r="BN1112" s="319" t="str">
        <f ca="1">IFERROR(BDP(MO.Ticker.Bloomberg&amp;" Equity","INTERVAL_LOW","MARKET_DATA_OVERRIDE=PX_LAST","START_DATE_OVERRIDE",TEXT(INDEX(MO_SNA_FPStartDate,0,COLUMN()),"YYYYMMDD"),"END_DATE_OVERRIDE",TEXT(INDEX(MO_Common_QEndDate,0,COLUMN()),"YYYYMMDD")),"N/A")</f>
        <v>N/A</v>
      </c>
      <c r="BO1112" s="319" t="str">
        <f ca="1">IFERROR(BDP(MO.Ticker.Bloomberg&amp;" Equity","INTERVAL_LOW","MARKET_DATA_OVERRIDE=PX_LAST","START_DATE_OVERRIDE",TEXT(INDEX(MO_SNA_FPStartDate,0,COLUMN()),"YYYYMMDD"),"END_DATE_OVERRIDE",TEXT(INDEX(MO_Common_QEndDate,0,COLUMN()),"YYYYMMDD")),"N/A")</f>
        <v>N/A</v>
      </c>
      <c r="BP1112" s="319" t="str">
        <f ca="1">IFERROR(BDP(MO.Ticker.Bloomberg&amp;" Equity","INTERVAL_LOW","MARKET_DATA_OVERRIDE=PX_LAST","START_DATE_OVERRIDE",TEXT(INDEX(MO_SNA_FPStartDate,0,COLUMN()),"YYYYMMDD"),"END_DATE_OVERRIDE",TEXT(INDEX(MO_Common_QEndDate,0,COLUMN()),"YYYYMMDD")),"N/A")</f>
        <v>N/A</v>
      </c>
      <c r="BQ1112" s="319" t="str">
        <f ca="1">IFERROR(BDP(MO.Ticker.Bloomberg&amp;" Equity","INTERVAL_LOW","MARKET_DATA_OVERRIDE=PX_LAST","START_DATE_OVERRIDE",TEXT(INDEX(MO_SNA_FPStartDate,0,COLUMN()),"YYYYMMDD"),"END_DATE_OVERRIDE",TEXT(INDEX(MO_Common_QEndDate,0,COLUMN()),"YYYYMMDD")),"N/A")</f>
        <v>N/A</v>
      </c>
      <c r="BR1112" s="321" t="str">
        <f ca="1">IFERROR(BDP(MO.Ticker.Bloomberg&amp;" Equity","INTERVAL_LOW","MARKET_DATA_OVERRIDE=PX_LAST","START_DATE_OVERRIDE",TEXT(INDEX(MO_SNA_FPStartDate,0,COLUMN()),"YYYYMMDD"),"END_DATE_OVERRIDE",TEXT(INDEX(MO_Common_QEndDate,0,COLUMN()),"YYYYMMDD")),"N/A")</f>
        <v>N/A</v>
      </c>
      <c r="BS1112" s="355"/>
    </row>
    <row r="1113" spans="1:71" s="322" customFormat="1" ht="15" hidden="1" outlineLevel="1">
      <c r="A1113" s="323" t="s">
        <v>243</v>
      </c>
      <c r="B1113" s="319"/>
      <c r="C1113" s="320" t="str">
        <f ca="1">IFERROR(CIQLO(MO.Ticker.CapIQ,"IQ_LASTSALEPRICE",INDEX(MO_SNA_FPStartDate,0,COLUMN()),INDEX(MO_Common_QEndDate,0,COLUMN())),"N/A")</f>
        <v>N/A</v>
      </c>
      <c r="D1113" s="320" t="str">
        <f ca="1">IFERROR(CIQLO(MO.Ticker.CapIQ,"IQ_LASTSALEPRICE",INDEX(MO_SNA_FPStartDate,0,COLUMN()),INDEX(MO_Common_QEndDate,0,COLUMN())),"N/A")</f>
        <v>N/A</v>
      </c>
      <c r="E1113" s="319" t="str">
        <f ca="1">IFERROR(CIQLO(MO.Ticker.CapIQ,"IQ_LASTSALEPRICE",INDEX(MO_SNA_FPStartDate,0,COLUMN()),INDEX(MO_Common_QEndDate,0,COLUMN())),"N/A")</f>
        <v>N/A</v>
      </c>
      <c r="F1113" s="319" t="str">
        <f ca="1">IFERROR(CIQLO(MO.Ticker.CapIQ,"IQ_LASTSALEPRICE",INDEX(MO_SNA_FPStartDate,0,COLUMN()),INDEX(MO_Common_QEndDate,0,COLUMN())),"N/A")</f>
        <v>N/A</v>
      </c>
      <c r="G1113" s="319" t="str">
        <f ca="1">IFERROR(CIQLO(MO.Ticker.CapIQ,"IQ_LASTSALEPRICE",INDEX(MO_SNA_FPStartDate,0,COLUMN()),INDEX(MO_Common_QEndDate,0,COLUMN())),"N/A")</f>
        <v>N/A</v>
      </c>
      <c r="H1113" s="319" t="str">
        <f ca="1">IFERROR(CIQLO(MO.Ticker.CapIQ,"IQ_LASTSALEPRICE",INDEX(MO_SNA_FPStartDate,0,COLUMN()),INDEX(MO_Common_QEndDate,0,COLUMN())),"N/A")</f>
        <v>N/A</v>
      </c>
      <c r="I1113" s="319" t="str">
        <f ca="1">IFERROR(CIQLO(MO.Ticker.CapIQ,"IQ_LASTSALEPRICE",INDEX(MO_SNA_FPStartDate,0,COLUMN()),INDEX(MO_Common_QEndDate,0,COLUMN())),"N/A")</f>
        <v>N/A</v>
      </c>
      <c r="J1113" s="319" t="str">
        <f ca="1">IFERROR(CIQLO(MO.Ticker.CapIQ,"IQ_LASTSALEPRICE",INDEX(MO_SNA_FPStartDate,0,COLUMN()),INDEX(MO_Common_QEndDate,0,COLUMN())),"N/A")</f>
        <v>N/A</v>
      </c>
      <c r="K1113" s="319" t="str">
        <f ca="1">IFERROR(CIQLO(MO.Ticker.CapIQ,"IQ_LASTSALEPRICE",INDEX(MO_SNA_FPStartDate,0,COLUMN()),INDEX(MO_Common_QEndDate,0,COLUMN())),"N/A")</f>
        <v>N/A</v>
      </c>
      <c r="L1113" s="319" t="str">
        <f ca="1">IFERROR(CIQLO(MO.Ticker.CapIQ,"IQ_LASTSALEPRICE",INDEX(MO_SNA_FPStartDate,0,COLUMN()),INDEX(MO_Common_QEndDate,0,COLUMN())),"N/A")</f>
        <v>N/A</v>
      </c>
      <c r="M1113" s="319" t="str">
        <f ca="1">IFERROR(CIQLO(MO.Ticker.CapIQ,"IQ_LASTSALEPRICE",INDEX(MO_SNA_FPStartDate,0,COLUMN()),INDEX(MO_Common_QEndDate,0,COLUMN())),"N/A")</f>
        <v>N/A</v>
      </c>
      <c r="N1113" s="319" t="str">
        <f ca="1">IFERROR(CIQLO(MO.Ticker.CapIQ,"IQ_LASTSALEPRICE",INDEX(MO_SNA_FPStartDate,0,COLUMN()),INDEX(MO_Common_QEndDate,0,COLUMN())),"N/A")</f>
        <v>N/A</v>
      </c>
      <c r="O1113" s="319" t="str">
        <f ca="1">IFERROR(CIQLO(MO.Ticker.CapIQ,"IQ_LASTSALEPRICE",INDEX(MO_SNA_FPStartDate,0,COLUMN()),INDEX(MO_Common_QEndDate,0,COLUMN())),"N/A")</f>
        <v>N/A</v>
      </c>
      <c r="P1113" s="319" t="str">
        <f ca="1">IFERROR(CIQLO(MO.Ticker.CapIQ,"IQ_LASTSALEPRICE",INDEX(MO_SNA_FPStartDate,0,COLUMN()),INDEX(MO_Common_QEndDate,0,COLUMN())),"N/A")</f>
        <v>N/A</v>
      </c>
      <c r="Q1113" s="319" t="str">
        <f ca="1">IFERROR(CIQLO(MO.Ticker.CapIQ,"IQ_LASTSALEPRICE",INDEX(MO_SNA_FPStartDate,0,COLUMN()),INDEX(MO_Common_QEndDate,0,COLUMN())),"N/A")</f>
        <v>N/A</v>
      </c>
      <c r="R1113" s="319" t="str">
        <f ca="1">IFERROR(CIQLO(MO.Ticker.CapIQ,"IQ_LASTSALEPRICE",INDEX(MO_SNA_FPStartDate,0,COLUMN()),INDEX(MO_Common_QEndDate,0,COLUMN())),"N/A")</f>
        <v>N/A</v>
      </c>
      <c r="S1113" s="319" t="str">
        <f ca="1">IFERROR(CIQLO(MO.Ticker.CapIQ,"IQ_LASTSALEPRICE",INDEX(MO_SNA_FPStartDate,0,COLUMN()),INDEX(MO_Common_QEndDate,0,COLUMN())),"N/A")</f>
        <v>N/A</v>
      </c>
      <c r="T1113" s="319" t="str">
        <f ca="1">IFERROR(CIQLO(MO.Ticker.CapIQ,"IQ_LASTSALEPRICE",INDEX(MO_SNA_FPStartDate,0,COLUMN()),INDEX(MO_Common_QEndDate,0,COLUMN())),"N/A")</f>
        <v>N/A</v>
      </c>
      <c r="U1113" s="319" t="str">
        <f ca="1">IFERROR(CIQLO(MO.Ticker.CapIQ,"IQ_LASTSALEPRICE",INDEX(MO_SNA_FPStartDate,0,COLUMN()),INDEX(MO_Common_QEndDate,0,COLUMN())),"N/A")</f>
        <v>N/A</v>
      </c>
      <c r="V1113" s="319" t="str">
        <f ca="1">IFERROR(CIQLO(MO.Ticker.CapIQ,"IQ_LASTSALEPRICE",INDEX(MO_SNA_FPStartDate,0,COLUMN()),INDEX(MO_Common_QEndDate,0,COLUMN())),"N/A")</f>
        <v>N/A</v>
      </c>
      <c r="W1113" s="319" t="str">
        <f ca="1">IFERROR(CIQLO(MO.Ticker.CapIQ,"IQ_LASTSALEPRICE",INDEX(MO_SNA_FPStartDate,0,COLUMN()),INDEX(MO_Common_QEndDate,0,COLUMN())),"N/A")</f>
        <v>N/A</v>
      </c>
      <c r="X1113" s="319" t="str">
        <f ca="1">IFERROR(CIQLO(MO.Ticker.CapIQ,"IQ_LASTSALEPRICE",INDEX(MO_SNA_FPStartDate,0,COLUMN()),INDEX(MO_Common_QEndDate,0,COLUMN())),"N/A")</f>
        <v>N/A</v>
      </c>
      <c r="Y1113" s="319" t="str">
        <f ca="1">IFERROR(CIQLO(MO.Ticker.CapIQ,"IQ_LASTSALEPRICE",INDEX(MO_SNA_FPStartDate,0,COLUMN()),INDEX(MO_Common_QEndDate,0,COLUMN())),"N/A")</f>
        <v>N/A</v>
      </c>
      <c r="Z1113" s="319" t="str">
        <f ca="1">IFERROR(CIQLO(MO.Ticker.CapIQ,"IQ_LASTSALEPRICE",INDEX(MO_SNA_FPStartDate,0,COLUMN()),INDEX(MO_Common_QEndDate,0,COLUMN())),"N/A")</f>
        <v>N/A</v>
      </c>
      <c r="AA1113" s="319" t="str">
        <f ca="1">IFERROR(CIQLO(MO.Ticker.CapIQ,"IQ_LASTSALEPRICE",INDEX(MO_SNA_FPStartDate,0,COLUMN()),INDEX(MO_Common_QEndDate,0,COLUMN())),"N/A")</f>
        <v>N/A</v>
      </c>
      <c r="AB1113" s="319" t="str">
        <f ca="1">IFERROR(CIQLO(MO.Ticker.CapIQ,"IQ_LASTSALEPRICE",INDEX(MO_SNA_FPStartDate,0,COLUMN()),INDEX(MO_Common_QEndDate,0,COLUMN())),"N/A")</f>
        <v>N/A</v>
      </c>
      <c r="AC1113" s="319" t="str">
        <f ca="1">IFERROR(CIQLO(MO.Ticker.CapIQ,"IQ_LASTSALEPRICE",INDEX(MO_SNA_FPStartDate,0,COLUMN()),INDEX(MO_Common_QEndDate,0,COLUMN())),"N/A")</f>
        <v>N/A</v>
      </c>
      <c r="AD1113" s="319" t="str">
        <f ca="1">IFERROR(CIQLO(MO.Ticker.CapIQ,"IQ_LASTSALEPRICE",INDEX(MO_SNA_FPStartDate,0,COLUMN()),INDEX(MO_Common_QEndDate,0,COLUMN())),"N/A")</f>
        <v>N/A</v>
      </c>
      <c r="AE1113" s="319" t="str">
        <f ca="1">IFERROR(CIQLO(MO.Ticker.CapIQ,"IQ_LASTSALEPRICE",INDEX(MO_SNA_FPStartDate,0,COLUMN()),INDEX(MO_Common_QEndDate,0,COLUMN())),"N/A")</f>
        <v>N/A</v>
      </c>
      <c r="AF1113" s="319" t="str">
        <f ca="1">IFERROR(CIQLO(MO.Ticker.CapIQ,"IQ_LASTSALEPRICE",INDEX(MO_SNA_FPStartDate,0,COLUMN()),INDEX(MO_Common_QEndDate,0,COLUMN())),"N/A")</f>
        <v>N/A</v>
      </c>
      <c r="AG1113" s="319" t="str">
        <f ca="1">IFERROR(CIQLO(MO.Ticker.CapIQ,"IQ_LASTSALEPRICE",INDEX(MO_SNA_FPStartDate,0,COLUMN()),INDEX(MO_Common_QEndDate,0,COLUMN())),"N/A")</f>
        <v>N/A</v>
      </c>
      <c r="AH1113" s="319" t="str">
        <f ca="1">IFERROR(CIQLO(MO.Ticker.CapIQ,"IQ_LASTSALEPRICE",INDEX(MO_SNA_FPStartDate,0,COLUMN()),INDEX(MO_Common_QEndDate,0,COLUMN())),"N/A")</f>
        <v>N/A</v>
      </c>
      <c r="AI1113" s="319" t="str">
        <f ca="1">IFERROR(CIQLO(MO.Ticker.CapIQ,"IQ_LASTSALEPRICE",INDEX(MO_SNA_FPStartDate,0,COLUMN()),INDEX(MO_Common_QEndDate,0,COLUMN())),"N/A")</f>
        <v>N/A</v>
      </c>
      <c r="AJ1113" s="319" t="str">
        <f ca="1">IFERROR(CIQLO(MO.Ticker.CapIQ,"IQ_LASTSALEPRICE",INDEX(MO_SNA_FPStartDate,0,COLUMN()),INDEX(MO_Common_QEndDate,0,COLUMN())),"N/A")</f>
        <v>N/A</v>
      </c>
      <c r="AK1113" s="319" t="str">
        <f ca="1">IFERROR(CIQLO(MO.Ticker.CapIQ,"IQ_LASTSALEPRICE",INDEX(MO_SNA_FPStartDate,0,COLUMN()),INDEX(MO_Common_QEndDate,0,COLUMN())),"N/A")</f>
        <v>N/A</v>
      </c>
      <c r="AL1113" s="319" t="str">
        <f ca="1">IFERROR(CIQLO(MO.Ticker.CapIQ,"IQ_LASTSALEPRICE",INDEX(MO_SNA_FPStartDate,0,COLUMN()),INDEX(MO_Common_QEndDate,0,COLUMN())),"N/A")</f>
        <v>N/A</v>
      </c>
      <c r="AM1113" s="319" t="str">
        <f ca="1">IFERROR(CIQLO(MO.Ticker.CapIQ,"IQ_LASTSALEPRICE",INDEX(MO_SNA_FPStartDate,0,COLUMN()),INDEX(MO_Common_QEndDate,0,COLUMN())),"N/A")</f>
        <v>N/A</v>
      </c>
      <c r="AN1113" s="319" t="str">
        <f ca="1">IFERROR(CIQLO(MO.Ticker.CapIQ,"IQ_LASTSALEPRICE",INDEX(MO_SNA_FPStartDate,0,COLUMN()),INDEX(MO_Common_QEndDate,0,COLUMN())),"N/A")</f>
        <v>N/A</v>
      </c>
      <c r="AO1113" s="319" t="str">
        <f ca="1">IFERROR(CIQLO(MO.Ticker.CapIQ,"IQ_LASTSALEPRICE",INDEX(MO_SNA_FPStartDate,0,COLUMN()),INDEX(MO_Common_QEndDate,0,COLUMN())),"N/A")</f>
        <v>N/A</v>
      </c>
      <c r="AP1113" s="319" t="str">
        <f ca="1">IFERROR(CIQLO(MO.Ticker.CapIQ,"IQ_LASTSALEPRICE",INDEX(MO_SNA_FPStartDate,0,COLUMN()),INDEX(MO_Common_QEndDate,0,COLUMN())),"N/A")</f>
        <v>N/A</v>
      </c>
      <c r="AQ1113" s="319" t="str">
        <f ca="1">IFERROR(CIQLO(MO.Ticker.CapIQ,"IQ_LASTSALEPRICE",INDEX(MO_SNA_FPStartDate,0,COLUMN()),INDEX(MO_Common_QEndDate,0,COLUMN())),"N/A")</f>
        <v>N/A</v>
      </c>
      <c r="AR1113" s="319" t="str">
        <f ca="1">IFERROR(CIQLO(MO.Ticker.CapIQ,"IQ_LASTSALEPRICE",INDEX(MO_SNA_FPStartDate,0,COLUMN()),INDEX(MO_Common_QEndDate,0,COLUMN())),"N/A")</f>
        <v>N/A</v>
      </c>
      <c r="AS1113" s="319" t="str">
        <f ca="1">IFERROR(CIQLO(MO.Ticker.CapIQ,"IQ_LASTSALEPRICE",INDEX(MO_SNA_FPStartDate,0,COLUMN()),INDEX(MO_Common_QEndDate,0,COLUMN())),"N/A")</f>
        <v>N/A</v>
      </c>
      <c r="AT1113" s="319" t="str">
        <f ca="1">IFERROR(CIQLO(MO.Ticker.CapIQ,"IQ_LASTSALEPRICE",INDEX(MO_SNA_FPStartDate,0,COLUMN()),INDEX(MO_Common_QEndDate,0,COLUMN())),"N/A")</f>
        <v>N/A</v>
      </c>
      <c r="AU1113" s="319" t="str">
        <f ca="1">IFERROR(CIQLO(MO.Ticker.CapIQ,"IQ_LASTSALEPRICE",INDEX(MO_SNA_FPStartDate,0,COLUMN()),INDEX(MO_Common_QEndDate,0,COLUMN())),"N/A")</f>
        <v>N/A</v>
      </c>
      <c r="AV1113" s="319" t="str">
        <f ca="1">IFERROR(CIQLO(MO.Ticker.CapIQ,"IQ_LASTSALEPRICE",INDEX(MO_SNA_FPStartDate,0,COLUMN()),INDEX(MO_Common_QEndDate,0,COLUMN())),"N/A")</f>
        <v>N/A</v>
      </c>
      <c r="AW1113" s="319" t="str">
        <f ca="1">IFERROR(CIQLO(MO.Ticker.CapIQ,"IQ_LASTSALEPRICE",INDEX(MO_SNA_FPStartDate,0,COLUMN()),INDEX(MO_Common_QEndDate,0,COLUMN())),"N/A")</f>
        <v>N/A</v>
      </c>
      <c r="AX1113" s="319" t="str">
        <f ca="1">IFERROR(CIQLO(MO.Ticker.CapIQ,"IQ_LASTSALEPRICE",INDEX(MO_SNA_FPStartDate,0,COLUMN()),INDEX(MO_Common_QEndDate,0,COLUMN())),"N/A")</f>
        <v>N/A</v>
      </c>
      <c r="AY1113" s="319" t="str">
        <f ca="1">IFERROR(CIQLO(MO.Ticker.CapIQ,"IQ_LASTSALEPRICE",INDEX(MO_SNA_FPStartDate,0,COLUMN()),INDEX(MO_Common_QEndDate,0,COLUMN())),"N/A")</f>
        <v>N/A</v>
      </c>
      <c r="AZ1113" s="319" t="str">
        <f ca="1">IFERROR(CIQLO(MO.Ticker.CapIQ,"IQ_LASTSALEPRICE",INDEX(MO_SNA_FPStartDate,0,COLUMN()),INDEX(MO_Common_QEndDate,0,COLUMN())),"N/A")</f>
        <v>N/A</v>
      </c>
      <c r="BA1113" s="319" t="str">
        <f ca="1">IFERROR(CIQLO(MO.Ticker.CapIQ,"IQ_LASTSALEPRICE",INDEX(MO_SNA_FPStartDate,0,COLUMN()),INDEX(MO_Common_QEndDate,0,COLUMN())),"N/A")</f>
        <v>N/A</v>
      </c>
      <c r="BB1113" s="319" t="str">
        <f ca="1">IFERROR(CIQLO(MO.Ticker.CapIQ,"IQ_LASTSALEPRICE",INDEX(MO_SNA_FPStartDate,0,COLUMN()),INDEX(MO_Common_QEndDate,0,COLUMN())),"N/A")</f>
        <v>N/A</v>
      </c>
      <c r="BC1113" s="319" t="str">
        <f ca="1">IFERROR(CIQLO(MO.Ticker.CapIQ,"IQ_LASTSALEPRICE",INDEX(MO_SNA_FPStartDate,0,COLUMN()),INDEX(MO_Common_QEndDate,0,COLUMN())),"N/A")</f>
        <v>N/A</v>
      </c>
      <c r="BD1113" s="319" t="str">
        <f ca="1">IFERROR(CIQLO(MO.Ticker.CapIQ,"IQ_LASTSALEPRICE",INDEX(MO_SNA_FPStartDate,0,COLUMN()),INDEX(MO_Common_QEndDate,0,COLUMN())),"N/A")</f>
        <v>N/A</v>
      </c>
      <c r="BE1113" s="319" t="str">
        <f ca="1">IFERROR(CIQLO(MO.Ticker.CapIQ,"IQ_LASTSALEPRICE",INDEX(MO_SNA_FPStartDate,0,COLUMN()),INDEX(MO_Common_QEndDate,0,COLUMN())),"N/A")</f>
        <v>N/A</v>
      </c>
      <c r="BF1113" s="319" t="str">
        <f ca="1">IFERROR(CIQLO(MO.Ticker.CapIQ,"IQ_LASTSALEPRICE",INDEX(MO_SNA_FPStartDate,0,COLUMN()),INDEX(MO_Common_QEndDate,0,COLUMN())),"N/A")</f>
        <v>N/A</v>
      </c>
      <c r="BG1113" s="319" t="str">
        <f ca="1">IFERROR(CIQLO(MO.Ticker.CapIQ,"IQ_LASTSALEPRICE",INDEX(MO_SNA_FPStartDate,0,COLUMN()),INDEX(MO_Common_QEndDate,0,COLUMN())),"N/A")</f>
        <v>N/A</v>
      </c>
      <c r="BH1113" s="454" t="str">
        <f ca="1">IFERROR(CIQLO(MO.Ticker.CapIQ,"IQ_LASTSALEPRICE",INDEX(MO_SNA_FPStartDate,0,COLUMN()),INDEX(MO_Common_QEndDate,0,COLUMN())),"N/A")</f>
        <v>N/A</v>
      </c>
      <c r="BI1113" s="319" t="str">
        <f ca="1">IFERROR(CIQLO(MO.Ticker.CapIQ,"IQ_LASTSALEPRICE",INDEX(MO_SNA_FPStartDate,0,COLUMN()),INDEX(MO_Common_QEndDate,0,COLUMN())),"N/A")</f>
        <v>N/A</v>
      </c>
      <c r="BJ1113" s="319" t="str">
        <f ca="1">IFERROR(CIQLO(MO.Ticker.CapIQ,"IQ_LASTSALEPRICE",INDEX(MO_SNA_FPStartDate,0,COLUMN()),INDEX(MO_Common_QEndDate,0,COLUMN())),"N/A")</f>
        <v>N/A</v>
      </c>
      <c r="BK1113" s="319" t="str">
        <f ca="1">IFERROR(CIQLO(MO.Ticker.CapIQ,"IQ_LASTSALEPRICE",INDEX(MO_SNA_FPStartDate,0,COLUMN()),INDEX(MO_Common_QEndDate,0,COLUMN())),"N/A")</f>
        <v>N/A</v>
      </c>
      <c r="BL1113" s="319" t="str">
        <f ca="1">IFERROR(CIQLO(MO.Ticker.CapIQ,"IQ_LASTSALEPRICE",INDEX(MO_SNA_FPStartDate,0,COLUMN()),INDEX(MO_Common_QEndDate,0,COLUMN())),"N/A")</f>
        <v>N/A</v>
      </c>
      <c r="BM1113" s="319" t="str">
        <f ca="1">IFERROR(CIQLO(MO.Ticker.CapIQ,"IQ_LASTSALEPRICE",INDEX(MO_SNA_FPStartDate,0,COLUMN()),INDEX(MO_Common_QEndDate,0,COLUMN())),"N/A")</f>
        <v>N/A</v>
      </c>
      <c r="BN1113" s="319" t="str">
        <f ca="1">IFERROR(CIQLO(MO.Ticker.CapIQ,"IQ_LASTSALEPRICE",INDEX(MO_SNA_FPStartDate,0,COLUMN()),INDEX(MO_Common_QEndDate,0,COLUMN())),"N/A")</f>
        <v>N/A</v>
      </c>
      <c r="BO1113" s="319" t="str">
        <f ca="1">IFERROR(CIQLO(MO.Ticker.CapIQ,"IQ_LASTSALEPRICE",INDEX(MO_SNA_FPStartDate,0,COLUMN()),INDEX(MO_Common_QEndDate,0,COLUMN())),"N/A")</f>
        <v>N/A</v>
      </c>
      <c r="BP1113" s="319" t="str">
        <f ca="1">IFERROR(CIQLO(MO.Ticker.CapIQ,"IQ_LASTSALEPRICE",INDEX(MO_SNA_FPStartDate,0,COLUMN()),INDEX(MO_Common_QEndDate,0,COLUMN())),"N/A")</f>
        <v>N/A</v>
      </c>
      <c r="BQ1113" s="319" t="str">
        <f ca="1">IFERROR(CIQLO(MO.Ticker.CapIQ,"IQ_LASTSALEPRICE",INDEX(MO_SNA_FPStartDate,0,COLUMN()),INDEX(MO_Common_QEndDate,0,COLUMN())),"N/A")</f>
        <v>N/A</v>
      </c>
      <c r="BR1113" s="321" t="str">
        <f ca="1">IFERROR(CIQLO(MO.Ticker.CapIQ,"IQ_LASTSALEPRICE",INDEX(MO_SNA_FPStartDate,0,COLUMN()),INDEX(MO_Common_QEndDate,0,COLUMN())),"N/A")</f>
        <v>N/A</v>
      </c>
      <c r="BS1113" s="355"/>
    </row>
    <row r="1114" spans="1:71" s="322" customFormat="1" ht="15" hidden="1" outlineLevel="1">
      <c r="A1114" s="323" t="s">
        <v>244</v>
      </c>
      <c r="B1114" s="319"/>
      <c r="C1114" s="320" t="str">
        <f ca="1">IFERROR(FDS(MO.Ticker.FactSet,"P_PRICE_LOW"&amp;"("&amp;INDEX(MO_SNA_FPStartDate,0,COLUMN())&amp;","&amp;INDEX(MO_Common_QEndDate,0,COLUMN())&amp;",,,,""PRICE"",""CLOSE"")"),"N/A")</f>
        <v>N/A</v>
      </c>
      <c r="D1114" s="320" t="str">
        <f ca="1">IFERROR(FDS(MO.Ticker.FactSet,"P_PRICE_LOW"&amp;"("&amp;INDEX(MO_SNA_FPStartDate,0,COLUMN())&amp;","&amp;INDEX(MO_Common_QEndDate,0,COLUMN())&amp;",,,,""PRICE"",""CLOSE"")"),"N/A")</f>
        <v>N/A</v>
      </c>
      <c r="E1114" s="319" t="str">
        <f ca="1">IFERROR(FDS(MO.Ticker.FactSet,"P_PRICE_LOW"&amp;"("&amp;INDEX(MO_SNA_FPStartDate,0,COLUMN())&amp;","&amp;INDEX(MO_Common_QEndDate,0,COLUMN())&amp;",,,,""PRICE"",""CLOSE"")"),"N/A")</f>
        <v>N/A</v>
      </c>
      <c r="F1114" s="319" t="str">
        <f ca="1">IFERROR(FDS(MO.Ticker.FactSet,"P_PRICE_LOW"&amp;"("&amp;INDEX(MO_SNA_FPStartDate,0,COLUMN())&amp;","&amp;INDEX(MO_Common_QEndDate,0,COLUMN())&amp;",,,,""PRICE"",""CLOSE"")"),"N/A")</f>
        <v>N/A</v>
      </c>
      <c r="G1114" s="319" t="str">
        <f ca="1">IFERROR(FDS(MO.Ticker.FactSet,"P_PRICE_LOW"&amp;"("&amp;INDEX(MO_SNA_FPStartDate,0,COLUMN())&amp;","&amp;INDEX(MO_Common_QEndDate,0,COLUMN())&amp;",,,,""PRICE"",""CLOSE"")"),"N/A")</f>
        <v>N/A</v>
      </c>
      <c r="H1114" s="319" t="str">
        <f ca="1">IFERROR(FDS(MO.Ticker.FactSet,"P_PRICE_LOW"&amp;"("&amp;INDEX(MO_SNA_FPStartDate,0,COLUMN())&amp;","&amp;INDEX(MO_Common_QEndDate,0,COLUMN())&amp;",,,,""PRICE"",""CLOSE"")"),"N/A")</f>
        <v>N/A</v>
      </c>
      <c r="I1114" s="319" t="str">
        <f ca="1">IFERROR(FDS(MO.Ticker.FactSet,"P_PRICE_LOW"&amp;"("&amp;INDEX(MO_SNA_FPStartDate,0,COLUMN())&amp;","&amp;INDEX(MO_Common_QEndDate,0,COLUMN())&amp;",,,,""PRICE"",""CLOSE"")"),"N/A")</f>
        <v>N/A</v>
      </c>
      <c r="J1114" s="319" t="str">
        <f ca="1">IFERROR(FDS(MO.Ticker.FactSet,"P_PRICE_LOW"&amp;"("&amp;INDEX(MO_SNA_FPStartDate,0,COLUMN())&amp;","&amp;INDEX(MO_Common_QEndDate,0,COLUMN())&amp;",,,,""PRICE"",""CLOSE"")"),"N/A")</f>
        <v>N/A</v>
      </c>
      <c r="K1114" s="319" t="str">
        <f ca="1">IFERROR(FDS(MO.Ticker.FactSet,"P_PRICE_LOW"&amp;"("&amp;INDEX(MO_SNA_FPStartDate,0,COLUMN())&amp;","&amp;INDEX(MO_Common_QEndDate,0,COLUMN())&amp;",,,,""PRICE"",""CLOSE"")"),"N/A")</f>
        <v>N/A</v>
      </c>
      <c r="L1114" s="319" t="str">
        <f ca="1">IFERROR(FDS(MO.Ticker.FactSet,"P_PRICE_LOW"&amp;"("&amp;INDEX(MO_SNA_FPStartDate,0,COLUMN())&amp;","&amp;INDEX(MO_Common_QEndDate,0,COLUMN())&amp;",,,,""PRICE"",""CLOSE"")"),"N/A")</f>
        <v>N/A</v>
      </c>
      <c r="M1114" s="319" t="str">
        <f ca="1">IFERROR(FDS(MO.Ticker.FactSet,"P_PRICE_LOW"&amp;"("&amp;INDEX(MO_SNA_FPStartDate,0,COLUMN())&amp;","&amp;INDEX(MO_Common_QEndDate,0,COLUMN())&amp;",,,,""PRICE"",""CLOSE"")"),"N/A")</f>
        <v>N/A</v>
      </c>
      <c r="N1114" s="319" t="str">
        <f ca="1">IFERROR(FDS(MO.Ticker.FactSet,"P_PRICE_LOW"&amp;"("&amp;INDEX(MO_SNA_FPStartDate,0,COLUMN())&amp;","&amp;INDEX(MO_Common_QEndDate,0,COLUMN())&amp;",,,,""PRICE"",""CLOSE"")"),"N/A")</f>
        <v>N/A</v>
      </c>
      <c r="O1114" s="319" t="str">
        <f ca="1">IFERROR(FDS(MO.Ticker.FactSet,"P_PRICE_LOW"&amp;"("&amp;INDEX(MO_SNA_FPStartDate,0,COLUMN())&amp;","&amp;INDEX(MO_Common_QEndDate,0,COLUMN())&amp;",,,,""PRICE"",""CLOSE"")"),"N/A")</f>
        <v>N/A</v>
      </c>
      <c r="P1114" s="319" t="str">
        <f ca="1">IFERROR(FDS(MO.Ticker.FactSet,"P_PRICE_LOW"&amp;"("&amp;INDEX(MO_SNA_FPStartDate,0,COLUMN())&amp;","&amp;INDEX(MO_Common_QEndDate,0,COLUMN())&amp;",,,,""PRICE"",""CLOSE"")"),"N/A")</f>
        <v>N/A</v>
      </c>
      <c r="Q1114" s="319" t="str">
        <f ca="1">IFERROR(FDS(MO.Ticker.FactSet,"P_PRICE_LOW"&amp;"("&amp;INDEX(MO_SNA_FPStartDate,0,COLUMN())&amp;","&amp;INDEX(MO_Common_QEndDate,0,COLUMN())&amp;",,,,""PRICE"",""CLOSE"")"),"N/A")</f>
        <v>N/A</v>
      </c>
      <c r="R1114" s="319" t="str">
        <f ca="1">IFERROR(FDS(MO.Ticker.FactSet,"P_PRICE_LOW"&amp;"("&amp;INDEX(MO_SNA_FPStartDate,0,COLUMN())&amp;","&amp;INDEX(MO_Common_QEndDate,0,COLUMN())&amp;",,,,""PRICE"",""CLOSE"")"),"N/A")</f>
        <v>N/A</v>
      </c>
      <c r="S1114" s="319" t="str">
        <f ca="1">IFERROR(FDS(MO.Ticker.FactSet,"P_PRICE_LOW"&amp;"("&amp;INDEX(MO_SNA_FPStartDate,0,COLUMN())&amp;","&amp;INDEX(MO_Common_QEndDate,0,COLUMN())&amp;",,,,""PRICE"",""CLOSE"")"),"N/A")</f>
        <v>N/A</v>
      </c>
      <c r="T1114" s="319" t="str">
        <f ca="1">IFERROR(FDS(MO.Ticker.FactSet,"P_PRICE_LOW"&amp;"("&amp;INDEX(MO_SNA_FPStartDate,0,COLUMN())&amp;","&amp;INDEX(MO_Common_QEndDate,0,COLUMN())&amp;",,,,""PRICE"",""CLOSE"")"),"N/A")</f>
        <v>N/A</v>
      </c>
      <c r="U1114" s="319" t="str">
        <f ca="1">IFERROR(FDS(MO.Ticker.FactSet,"P_PRICE_LOW"&amp;"("&amp;INDEX(MO_SNA_FPStartDate,0,COLUMN())&amp;","&amp;INDEX(MO_Common_QEndDate,0,COLUMN())&amp;",,,,""PRICE"",""CLOSE"")"),"N/A")</f>
        <v>N/A</v>
      </c>
      <c r="V1114" s="319" t="str">
        <f ca="1">IFERROR(FDS(MO.Ticker.FactSet,"P_PRICE_LOW"&amp;"("&amp;INDEX(MO_SNA_FPStartDate,0,COLUMN())&amp;","&amp;INDEX(MO_Common_QEndDate,0,COLUMN())&amp;",,,,""PRICE"",""CLOSE"")"),"N/A")</f>
        <v>N/A</v>
      </c>
      <c r="W1114" s="319" t="str">
        <f ca="1">IFERROR(FDS(MO.Ticker.FactSet,"P_PRICE_LOW"&amp;"("&amp;INDEX(MO_SNA_FPStartDate,0,COLUMN())&amp;","&amp;INDEX(MO_Common_QEndDate,0,COLUMN())&amp;",,,,""PRICE"",""CLOSE"")"),"N/A")</f>
        <v>N/A</v>
      </c>
      <c r="X1114" s="319" t="str">
        <f ca="1">IFERROR(FDS(MO.Ticker.FactSet,"P_PRICE_LOW"&amp;"("&amp;INDEX(MO_SNA_FPStartDate,0,COLUMN())&amp;","&amp;INDEX(MO_Common_QEndDate,0,COLUMN())&amp;",,,,""PRICE"",""CLOSE"")"),"N/A")</f>
        <v>N/A</v>
      </c>
      <c r="Y1114" s="319" t="str">
        <f ca="1">IFERROR(FDS(MO.Ticker.FactSet,"P_PRICE_LOW"&amp;"("&amp;INDEX(MO_SNA_FPStartDate,0,COLUMN())&amp;","&amp;INDEX(MO_Common_QEndDate,0,COLUMN())&amp;",,,,""PRICE"",""CLOSE"")"),"N/A")</f>
        <v>N/A</v>
      </c>
      <c r="Z1114" s="319" t="str">
        <f ca="1">IFERROR(FDS(MO.Ticker.FactSet,"P_PRICE_LOW"&amp;"("&amp;INDEX(MO_SNA_FPStartDate,0,COLUMN())&amp;","&amp;INDEX(MO_Common_QEndDate,0,COLUMN())&amp;",,,,""PRICE"",""CLOSE"")"),"N/A")</f>
        <v>N/A</v>
      </c>
      <c r="AA1114" s="319" t="str">
        <f ca="1">IFERROR(FDS(MO.Ticker.FactSet,"P_PRICE_LOW"&amp;"("&amp;INDEX(MO_SNA_FPStartDate,0,COLUMN())&amp;","&amp;INDEX(MO_Common_QEndDate,0,COLUMN())&amp;",,,,""PRICE"",""CLOSE"")"),"N/A")</f>
        <v>N/A</v>
      </c>
      <c r="AB1114" s="319" t="str">
        <f ca="1">IFERROR(FDS(MO.Ticker.FactSet,"P_PRICE_LOW"&amp;"("&amp;INDEX(MO_SNA_FPStartDate,0,COLUMN())&amp;","&amp;INDEX(MO_Common_QEndDate,0,COLUMN())&amp;",,,,""PRICE"",""CLOSE"")"),"N/A")</f>
        <v>N/A</v>
      </c>
      <c r="AC1114" s="319" t="str">
        <f ca="1">IFERROR(FDS(MO.Ticker.FactSet,"P_PRICE_LOW"&amp;"("&amp;INDEX(MO_SNA_FPStartDate,0,COLUMN())&amp;","&amp;INDEX(MO_Common_QEndDate,0,COLUMN())&amp;",,,,""PRICE"",""CLOSE"")"),"N/A")</f>
        <v>N/A</v>
      </c>
      <c r="AD1114" s="319" t="str">
        <f ca="1">IFERROR(FDS(MO.Ticker.FactSet,"P_PRICE_LOW"&amp;"("&amp;INDEX(MO_SNA_FPStartDate,0,COLUMN())&amp;","&amp;INDEX(MO_Common_QEndDate,0,COLUMN())&amp;",,,,""PRICE"",""CLOSE"")"),"N/A")</f>
        <v>N/A</v>
      </c>
      <c r="AE1114" s="319" t="str">
        <f ca="1">IFERROR(FDS(MO.Ticker.FactSet,"P_PRICE_LOW"&amp;"("&amp;INDEX(MO_SNA_FPStartDate,0,COLUMN())&amp;","&amp;INDEX(MO_Common_QEndDate,0,COLUMN())&amp;",,,,""PRICE"",""CLOSE"")"),"N/A")</f>
        <v>N/A</v>
      </c>
      <c r="AF1114" s="319" t="str">
        <f ca="1">IFERROR(FDS(MO.Ticker.FactSet,"P_PRICE_LOW"&amp;"("&amp;INDEX(MO_SNA_FPStartDate,0,COLUMN())&amp;","&amp;INDEX(MO_Common_QEndDate,0,COLUMN())&amp;",,,,""PRICE"",""CLOSE"")"),"N/A")</f>
        <v>N/A</v>
      </c>
      <c r="AG1114" s="319" t="str">
        <f ca="1">IFERROR(FDS(MO.Ticker.FactSet,"P_PRICE_LOW"&amp;"("&amp;INDEX(MO_SNA_FPStartDate,0,COLUMN())&amp;","&amp;INDEX(MO_Common_QEndDate,0,COLUMN())&amp;",,,,""PRICE"",""CLOSE"")"),"N/A")</f>
        <v>N/A</v>
      </c>
      <c r="AH1114" s="319" t="str">
        <f ca="1">IFERROR(FDS(MO.Ticker.FactSet,"P_PRICE_LOW"&amp;"("&amp;INDEX(MO_SNA_FPStartDate,0,COLUMN())&amp;","&amp;INDEX(MO_Common_QEndDate,0,COLUMN())&amp;",,,,""PRICE"",""CLOSE"")"),"N/A")</f>
        <v>N/A</v>
      </c>
      <c r="AI1114" s="319" t="str">
        <f ca="1">IFERROR(FDS(MO.Ticker.FactSet,"P_PRICE_LOW"&amp;"("&amp;INDEX(MO_SNA_FPStartDate,0,COLUMN())&amp;","&amp;INDEX(MO_Common_QEndDate,0,COLUMN())&amp;",,,,""PRICE"",""CLOSE"")"),"N/A")</f>
        <v>N/A</v>
      </c>
      <c r="AJ1114" s="319" t="str">
        <f ca="1">IFERROR(FDS(MO.Ticker.FactSet,"P_PRICE_LOW"&amp;"("&amp;INDEX(MO_SNA_FPStartDate,0,COLUMN())&amp;","&amp;INDEX(MO_Common_QEndDate,0,COLUMN())&amp;",,,,""PRICE"",""CLOSE"")"),"N/A")</f>
        <v>N/A</v>
      </c>
      <c r="AK1114" s="319" t="str">
        <f ca="1">IFERROR(FDS(MO.Ticker.FactSet,"P_PRICE_LOW"&amp;"("&amp;INDEX(MO_SNA_FPStartDate,0,COLUMN())&amp;","&amp;INDEX(MO_Common_QEndDate,0,COLUMN())&amp;",,,,""PRICE"",""CLOSE"")"),"N/A")</f>
        <v>N/A</v>
      </c>
      <c r="AL1114" s="319" t="str">
        <f ca="1">IFERROR(FDS(MO.Ticker.FactSet,"P_PRICE_LOW"&amp;"("&amp;INDEX(MO_SNA_FPStartDate,0,COLUMN())&amp;","&amp;INDEX(MO_Common_QEndDate,0,COLUMN())&amp;",,,,""PRICE"",""CLOSE"")"),"N/A")</f>
        <v>N/A</v>
      </c>
      <c r="AM1114" s="319" t="str">
        <f ca="1">IFERROR(FDS(MO.Ticker.FactSet,"P_PRICE_LOW"&amp;"("&amp;INDEX(MO_SNA_FPStartDate,0,COLUMN())&amp;","&amp;INDEX(MO_Common_QEndDate,0,COLUMN())&amp;",,,,""PRICE"",""CLOSE"")"),"N/A")</f>
        <v>N/A</v>
      </c>
      <c r="AN1114" s="319" t="str">
        <f ca="1">IFERROR(FDS(MO.Ticker.FactSet,"P_PRICE_LOW"&amp;"("&amp;INDEX(MO_SNA_FPStartDate,0,COLUMN())&amp;","&amp;INDEX(MO_Common_QEndDate,0,COLUMN())&amp;",,,,""PRICE"",""CLOSE"")"),"N/A")</f>
        <v>N/A</v>
      </c>
      <c r="AO1114" s="319" t="str">
        <f ca="1">IFERROR(FDS(MO.Ticker.FactSet,"P_PRICE_LOW"&amp;"("&amp;INDEX(MO_SNA_FPStartDate,0,COLUMN())&amp;","&amp;INDEX(MO_Common_QEndDate,0,COLUMN())&amp;",,,,""PRICE"",""CLOSE"")"),"N/A")</f>
        <v>N/A</v>
      </c>
      <c r="AP1114" s="319" t="str">
        <f ca="1">IFERROR(FDS(MO.Ticker.FactSet,"P_PRICE_LOW"&amp;"("&amp;INDEX(MO_SNA_FPStartDate,0,COLUMN())&amp;","&amp;INDEX(MO_Common_QEndDate,0,COLUMN())&amp;",,,,""PRICE"",""CLOSE"")"),"N/A")</f>
        <v>N/A</v>
      </c>
      <c r="AQ1114" s="319" t="str">
        <f ca="1">IFERROR(FDS(MO.Ticker.FactSet,"P_PRICE_LOW"&amp;"("&amp;INDEX(MO_SNA_FPStartDate,0,COLUMN())&amp;","&amp;INDEX(MO_Common_QEndDate,0,COLUMN())&amp;",,,,""PRICE"",""CLOSE"")"),"N/A")</f>
        <v>N/A</v>
      </c>
      <c r="AR1114" s="319" t="str">
        <f ca="1">IFERROR(FDS(MO.Ticker.FactSet,"P_PRICE_LOW"&amp;"("&amp;INDEX(MO_SNA_FPStartDate,0,COLUMN())&amp;","&amp;INDEX(MO_Common_QEndDate,0,COLUMN())&amp;",,,,""PRICE"",""CLOSE"")"),"N/A")</f>
        <v>N/A</v>
      </c>
      <c r="AS1114" s="319" t="str">
        <f ca="1">IFERROR(FDS(MO.Ticker.FactSet,"P_PRICE_LOW"&amp;"("&amp;INDEX(MO_SNA_FPStartDate,0,COLUMN())&amp;","&amp;INDEX(MO_Common_QEndDate,0,COLUMN())&amp;",,,,""PRICE"",""CLOSE"")"),"N/A")</f>
        <v>N/A</v>
      </c>
      <c r="AT1114" s="319" t="str">
        <f ca="1">IFERROR(FDS(MO.Ticker.FactSet,"P_PRICE_LOW"&amp;"("&amp;INDEX(MO_SNA_FPStartDate,0,COLUMN())&amp;","&amp;INDEX(MO_Common_QEndDate,0,COLUMN())&amp;",,,,""PRICE"",""CLOSE"")"),"N/A")</f>
        <v>N/A</v>
      </c>
      <c r="AU1114" s="319" t="str">
        <f ca="1">IFERROR(FDS(MO.Ticker.FactSet,"P_PRICE_LOW"&amp;"("&amp;INDEX(MO_SNA_FPStartDate,0,COLUMN())&amp;","&amp;INDEX(MO_Common_QEndDate,0,COLUMN())&amp;",,,,""PRICE"",""CLOSE"")"),"N/A")</f>
        <v>N/A</v>
      </c>
      <c r="AV1114" s="319" t="str">
        <f ca="1">IFERROR(FDS(MO.Ticker.FactSet,"P_PRICE_LOW"&amp;"("&amp;INDEX(MO_SNA_FPStartDate,0,COLUMN())&amp;","&amp;INDEX(MO_Common_QEndDate,0,COLUMN())&amp;",,,,""PRICE"",""CLOSE"")"),"N/A")</f>
        <v>N/A</v>
      </c>
      <c r="AW1114" s="319" t="str">
        <f ca="1">IFERROR(FDS(MO.Ticker.FactSet,"P_PRICE_LOW"&amp;"("&amp;INDEX(MO_SNA_FPStartDate,0,COLUMN())&amp;","&amp;INDEX(MO_Common_QEndDate,0,COLUMN())&amp;",,,,""PRICE"",""CLOSE"")"),"N/A")</f>
        <v>N/A</v>
      </c>
      <c r="AX1114" s="319" t="str">
        <f ca="1">IFERROR(FDS(MO.Ticker.FactSet,"P_PRICE_LOW"&amp;"("&amp;INDEX(MO_SNA_FPStartDate,0,COLUMN())&amp;","&amp;INDEX(MO_Common_QEndDate,0,COLUMN())&amp;",,,,""PRICE"",""CLOSE"")"),"N/A")</f>
        <v>N/A</v>
      </c>
      <c r="AY1114" s="319" t="str">
        <f ca="1">IFERROR(FDS(MO.Ticker.FactSet,"P_PRICE_LOW"&amp;"("&amp;INDEX(MO_SNA_FPStartDate,0,COLUMN())&amp;","&amp;INDEX(MO_Common_QEndDate,0,COLUMN())&amp;",,,,""PRICE"",""CLOSE"")"),"N/A")</f>
        <v>N/A</v>
      </c>
      <c r="AZ1114" s="319" t="str">
        <f ca="1">IFERROR(FDS(MO.Ticker.FactSet,"P_PRICE_LOW"&amp;"("&amp;INDEX(MO_SNA_FPStartDate,0,COLUMN())&amp;","&amp;INDEX(MO_Common_QEndDate,0,COLUMN())&amp;",,,,""PRICE"",""CLOSE"")"),"N/A")</f>
        <v>N/A</v>
      </c>
      <c r="BA1114" s="319" t="str">
        <f ca="1">IFERROR(FDS(MO.Ticker.FactSet,"P_PRICE_LOW"&amp;"("&amp;INDEX(MO_SNA_FPStartDate,0,COLUMN())&amp;","&amp;INDEX(MO_Common_QEndDate,0,COLUMN())&amp;",,,,""PRICE"",""CLOSE"")"),"N/A")</f>
        <v>N/A</v>
      </c>
      <c r="BB1114" s="319" t="str">
        <f ca="1">IFERROR(FDS(MO.Ticker.FactSet,"P_PRICE_LOW"&amp;"("&amp;INDEX(MO_SNA_FPStartDate,0,COLUMN())&amp;","&amp;INDEX(MO_Common_QEndDate,0,COLUMN())&amp;",,,,""PRICE"",""CLOSE"")"),"N/A")</f>
        <v>N/A</v>
      </c>
      <c r="BC1114" s="319" t="str">
        <f ca="1">IFERROR(FDS(MO.Ticker.FactSet,"P_PRICE_LOW"&amp;"("&amp;INDEX(MO_SNA_FPStartDate,0,COLUMN())&amp;","&amp;INDEX(MO_Common_QEndDate,0,COLUMN())&amp;",,,,""PRICE"",""CLOSE"")"),"N/A")</f>
        <v>N/A</v>
      </c>
      <c r="BD1114" s="319" t="str">
        <f ca="1">IFERROR(FDS(MO.Ticker.FactSet,"P_PRICE_LOW"&amp;"("&amp;INDEX(MO_SNA_FPStartDate,0,COLUMN())&amp;","&amp;INDEX(MO_Common_QEndDate,0,COLUMN())&amp;",,,,""PRICE"",""CLOSE"")"),"N/A")</f>
        <v>N/A</v>
      </c>
      <c r="BE1114" s="319" t="str">
        <f ca="1">IFERROR(FDS(MO.Ticker.FactSet,"P_PRICE_LOW"&amp;"("&amp;INDEX(MO_SNA_FPStartDate,0,COLUMN())&amp;","&amp;INDEX(MO_Common_QEndDate,0,COLUMN())&amp;",,,,""PRICE"",""CLOSE"")"),"N/A")</f>
        <v>N/A</v>
      </c>
      <c r="BF1114" s="319" t="str">
        <f ca="1">IFERROR(FDS(MO.Ticker.FactSet,"P_PRICE_LOW"&amp;"("&amp;INDEX(MO_SNA_FPStartDate,0,COLUMN())&amp;","&amp;INDEX(MO_Common_QEndDate,0,COLUMN())&amp;",,,,""PRICE"",""CLOSE"")"),"N/A")</f>
        <v>N/A</v>
      </c>
      <c r="BG1114" s="319" t="str">
        <f ca="1">IFERROR(FDS(MO.Ticker.FactSet,"P_PRICE_LOW"&amp;"("&amp;INDEX(MO_SNA_FPStartDate,0,COLUMN())&amp;","&amp;INDEX(MO_Common_QEndDate,0,COLUMN())&amp;",,,,""PRICE"",""CLOSE"")"),"N/A")</f>
        <v>N/A</v>
      </c>
      <c r="BH1114" s="454" t="str">
        <f ca="1">IFERROR(FDS(MO.Ticker.FactSet,"P_PRICE_LOW"&amp;"("&amp;INDEX(MO_SNA_FPStartDate,0,COLUMN())&amp;","&amp;INDEX(MO_Common_QEndDate,0,COLUMN())&amp;",,,,""PRICE"",""CLOSE"")"),"N/A")</f>
        <v>N/A</v>
      </c>
      <c r="BI1114" s="319" t="str">
        <f ca="1">IFERROR(FDS(MO.Ticker.FactSet,"P_PRICE_LOW"&amp;"("&amp;INDEX(MO_SNA_FPStartDate,0,COLUMN())&amp;","&amp;INDEX(MO_Common_QEndDate,0,COLUMN())&amp;",,,,""PRICE"",""CLOSE"")"),"N/A")</f>
        <v>N/A</v>
      </c>
      <c r="BJ1114" s="319" t="str">
        <f ca="1">IFERROR(FDS(MO.Ticker.FactSet,"P_PRICE_LOW"&amp;"("&amp;INDEX(MO_SNA_FPStartDate,0,COLUMN())&amp;","&amp;INDEX(MO_Common_QEndDate,0,COLUMN())&amp;",,,,""PRICE"",""CLOSE"")"),"N/A")</f>
        <v>N/A</v>
      </c>
      <c r="BK1114" s="319" t="str">
        <f ca="1">IFERROR(FDS(MO.Ticker.FactSet,"P_PRICE_LOW"&amp;"("&amp;INDEX(MO_SNA_FPStartDate,0,COLUMN())&amp;","&amp;INDEX(MO_Common_QEndDate,0,COLUMN())&amp;",,,,""PRICE"",""CLOSE"")"),"N/A")</f>
        <v>N/A</v>
      </c>
      <c r="BL1114" s="319" t="str">
        <f ca="1">IFERROR(FDS(MO.Ticker.FactSet,"P_PRICE_LOW"&amp;"("&amp;INDEX(MO_SNA_FPStartDate,0,COLUMN())&amp;","&amp;INDEX(MO_Common_QEndDate,0,COLUMN())&amp;",,,,""PRICE"",""CLOSE"")"),"N/A")</f>
        <v>N/A</v>
      </c>
      <c r="BM1114" s="319" t="str">
        <f ca="1">IFERROR(FDS(MO.Ticker.FactSet,"P_PRICE_LOW"&amp;"("&amp;INDEX(MO_SNA_FPStartDate,0,COLUMN())&amp;","&amp;INDEX(MO_Common_QEndDate,0,COLUMN())&amp;",,,,""PRICE"",""CLOSE"")"),"N/A")</f>
        <v>N/A</v>
      </c>
      <c r="BN1114" s="319" t="str">
        <f ca="1">IFERROR(FDS(MO.Ticker.FactSet,"P_PRICE_LOW"&amp;"("&amp;INDEX(MO_SNA_FPStartDate,0,COLUMN())&amp;","&amp;INDEX(MO_Common_QEndDate,0,COLUMN())&amp;",,,,""PRICE"",""CLOSE"")"),"N/A")</f>
        <v>N/A</v>
      </c>
      <c r="BO1114" s="319" t="str">
        <f ca="1">IFERROR(FDS(MO.Ticker.FactSet,"P_PRICE_LOW"&amp;"("&amp;INDEX(MO_SNA_FPStartDate,0,COLUMN())&amp;","&amp;INDEX(MO_Common_QEndDate,0,COLUMN())&amp;",,,,""PRICE"",""CLOSE"")"),"N/A")</f>
        <v>N/A</v>
      </c>
      <c r="BP1114" s="319" t="str">
        <f ca="1">IFERROR(FDS(MO.Ticker.FactSet,"P_PRICE_LOW"&amp;"("&amp;INDEX(MO_SNA_FPStartDate,0,COLUMN())&amp;","&amp;INDEX(MO_Common_QEndDate,0,COLUMN())&amp;",,,,""PRICE"",""CLOSE"")"),"N/A")</f>
        <v>N/A</v>
      </c>
      <c r="BQ1114" s="319" t="str">
        <f ca="1">IFERROR(FDS(MO.Ticker.FactSet,"P_PRICE_LOW"&amp;"("&amp;INDEX(MO_SNA_FPStartDate,0,COLUMN())&amp;","&amp;INDEX(MO_Common_QEndDate,0,COLUMN())&amp;",,,,""PRICE"",""CLOSE"")"),"N/A")</f>
        <v>N/A</v>
      </c>
      <c r="BR1114" s="321" t="str">
        <f ca="1">IFERROR(FDS(MO.Ticker.FactSet,"P_PRICE_LOW"&amp;"("&amp;INDEX(MO_SNA_FPStartDate,0,COLUMN())&amp;","&amp;INDEX(MO_Common_QEndDate,0,COLUMN())&amp;",,,,""PRICE"",""CLOSE"")"),"N/A")</f>
        <v>N/A</v>
      </c>
      <c r="BS1114" s="355"/>
    </row>
    <row r="1115" spans="1:71" s="322" customFormat="1" ht="15" hidden="1" outlineLevel="1">
      <c r="A1115" s="323" t="s">
        <v>654</v>
      </c>
      <c r="B1115" s="319"/>
      <c r="C1115" s="320" t="str">
        <f ca="1">IFERROR(_xll.TR(MO.Ticker.Thomson,"Min(TR.PriceLow)","sdate:#1 edate:#2",,INDEX(MO_SNA_FPStartDate,0,COLUMN()),INDEX(MO_Common_QEndDate,0,COLUMN())),"N/A")</f>
        <v>N/A</v>
      </c>
      <c r="D1115" s="320" t="str">
        <f ca="1">IFERROR(_xll.TR(MO.Ticker.Thomson,"Min(TR.PriceLow)","sdate:#1 edate:#2",,INDEX(MO_SNA_FPStartDate,0,COLUMN()),INDEX(MO_Common_QEndDate,0,COLUMN())),"N/A")</f>
        <v>N/A</v>
      </c>
      <c r="E1115" s="319" t="str">
        <f ca="1">IFERROR(_xll.TR(MO.Ticker.Thomson,"Min(TR.PriceLow)","sdate:#1 edate:#2",,INDEX(MO_SNA_FPStartDate,0,COLUMN()),INDEX(MO_Common_QEndDate,0,COLUMN())),"N/A")</f>
        <v>N/A</v>
      </c>
      <c r="F1115" s="319" t="str">
        <f ca="1">IFERROR(_xll.TR(MO.Ticker.Thomson,"Min(TR.PriceLow)","sdate:#1 edate:#2",,INDEX(MO_SNA_FPStartDate,0,COLUMN()),INDEX(MO_Common_QEndDate,0,COLUMN())),"N/A")</f>
        <v>N/A</v>
      </c>
      <c r="G1115" s="319" t="str">
        <f ca="1">IFERROR(_xll.TR(MO.Ticker.Thomson,"Min(TR.PriceLow)","sdate:#1 edate:#2",,INDEX(MO_SNA_FPStartDate,0,COLUMN()),INDEX(MO_Common_QEndDate,0,COLUMN())),"N/A")</f>
        <v>N/A</v>
      </c>
      <c r="H1115" s="319" t="str">
        <f ca="1">IFERROR(_xll.TR(MO.Ticker.Thomson,"Min(TR.PriceLow)","sdate:#1 edate:#2",,INDEX(MO_SNA_FPStartDate,0,COLUMN()),INDEX(MO_Common_QEndDate,0,COLUMN())),"N/A")</f>
        <v>N/A</v>
      </c>
      <c r="I1115" s="319" t="str">
        <f ca="1">IFERROR(_xll.TR(MO.Ticker.Thomson,"Min(TR.PriceLow)","sdate:#1 edate:#2",,INDEX(MO_SNA_FPStartDate,0,COLUMN()),INDEX(MO_Common_QEndDate,0,COLUMN())),"N/A")</f>
        <v>N/A</v>
      </c>
      <c r="J1115" s="319" t="str">
        <f ca="1">IFERROR(_xll.TR(MO.Ticker.Thomson,"Min(TR.PriceLow)","sdate:#1 edate:#2",,INDEX(MO_SNA_FPStartDate,0,COLUMN()),INDEX(MO_Common_QEndDate,0,COLUMN())),"N/A")</f>
        <v>N/A</v>
      </c>
      <c r="K1115" s="319" t="str">
        <f ca="1">IFERROR(_xll.TR(MO.Ticker.Thomson,"Min(TR.PriceLow)","sdate:#1 edate:#2",,INDEX(MO_SNA_FPStartDate,0,COLUMN()),INDEX(MO_Common_QEndDate,0,COLUMN())),"N/A")</f>
        <v>N/A</v>
      </c>
      <c r="L1115" s="319" t="str">
        <f ca="1">IFERROR(_xll.TR(MO.Ticker.Thomson,"Min(TR.PriceLow)","sdate:#1 edate:#2",,INDEX(MO_SNA_FPStartDate,0,COLUMN()),INDEX(MO_Common_QEndDate,0,COLUMN())),"N/A")</f>
        <v>N/A</v>
      </c>
      <c r="M1115" s="319" t="str">
        <f ca="1">IFERROR(_xll.TR(MO.Ticker.Thomson,"Min(TR.PriceLow)","sdate:#1 edate:#2",,INDEX(MO_SNA_FPStartDate,0,COLUMN()),INDEX(MO_Common_QEndDate,0,COLUMN())),"N/A")</f>
        <v>N/A</v>
      </c>
      <c r="N1115" s="319" t="str">
        <f ca="1">IFERROR(_xll.TR(MO.Ticker.Thomson,"Min(TR.PriceLow)","sdate:#1 edate:#2",,INDEX(MO_SNA_FPStartDate,0,COLUMN()),INDEX(MO_Common_QEndDate,0,COLUMN())),"N/A")</f>
        <v>N/A</v>
      </c>
      <c r="O1115" s="319" t="str">
        <f ca="1">IFERROR(_xll.TR(MO.Ticker.Thomson,"Min(TR.PriceLow)","sdate:#1 edate:#2",,INDEX(MO_SNA_FPStartDate,0,COLUMN()),INDEX(MO_Common_QEndDate,0,COLUMN())),"N/A")</f>
        <v>N/A</v>
      </c>
      <c r="P1115" s="319" t="str">
        <f ca="1">IFERROR(_xll.TR(MO.Ticker.Thomson,"Min(TR.PriceLow)","sdate:#1 edate:#2",,INDEX(MO_SNA_FPStartDate,0,COLUMN()),INDEX(MO_Common_QEndDate,0,COLUMN())),"N/A")</f>
        <v>N/A</v>
      </c>
      <c r="Q1115" s="319" t="str">
        <f ca="1">IFERROR(_xll.TR(MO.Ticker.Thomson,"Min(TR.PriceLow)","sdate:#1 edate:#2",,INDEX(MO_SNA_FPStartDate,0,COLUMN()),INDEX(MO_Common_QEndDate,0,COLUMN())),"N/A")</f>
        <v>N/A</v>
      </c>
      <c r="R1115" s="319" t="str">
        <f ca="1">IFERROR(_xll.TR(MO.Ticker.Thomson,"Min(TR.PriceLow)","sdate:#1 edate:#2",,INDEX(MO_SNA_FPStartDate,0,COLUMN()),INDEX(MO_Common_QEndDate,0,COLUMN())),"N/A")</f>
        <v>N/A</v>
      </c>
      <c r="S1115" s="319" t="str">
        <f ca="1">IFERROR(_xll.TR(MO.Ticker.Thomson,"Min(TR.PriceLow)","sdate:#1 edate:#2",,INDEX(MO_SNA_FPStartDate,0,COLUMN()),INDEX(MO_Common_QEndDate,0,COLUMN())),"N/A")</f>
        <v>N/A</v>
      </c>
      <c r="T1115" s="319" t="str">
        <f ca="1">IFERROR(_xll.TR(MO.Ticker.Thomson,"Min(TR.PriceLow)","sdate:#1 edate:#2",,INDEX(MO_SNA_FPStartDate,0,COLUMN()),INDEX(MO_Common_QEndDate,0,COLUMN())),"N/A")</f>
        <v>N/A</v>
      </c>
      <c r="U1115" s="319" t="str">
        <f ca="1">IFERROR(_xll.TR(MO.Ticker.Thomson,"Min(TR.PriceLow)","sdate:#1 edate:#2",,INDEX(MO_SNA_FPStartDate,0,COLUMN()),INDEX(MO_Common_QEndDate,0,COLUMN())),"N/A")</f>
        <v>N/A</v>
      </c>
      <c r="V1115" s="319" t="str">
        <f ca="1">IFERROR(_xll.TR(MO.Ticker.Thomson,"Min(TR.PriceLow)","sdate:#1 edate:#2",,INDEX(MO_SNA_FPStartDate,0,COLUMN()),INDEX(MO_Common_QEndDate,0,COLUMN())),"N/A")</f>
        <v>N/A</v>
      </c>
      <c r="W1115" s="319" t="str">
        <f ca="1">IFERROR(_xll.TR(MO.Ticker.Thomson,"Min(TR.PriceLow)","sdate:#1 edate:#2",,INDEX(MO_SNA_FPStartDate,0,COLUMN()),INDEX(MO_Common_QEndDate,0,COLUMN())),"N/A")</f>
        <v>N/A</v>
      </c>
      <c r="X1115" s="319" t="str">
        <f ca="1">IFERROR(_xll.TR(MO.Ticker.Thomson,"Min(TR.PriceLow)","sdate:#1 edate:#2",,INDEX(MO_SNA_FPStartDate,0,COLUMN()),INDEX(MO_Common_QEndDate,0,COLUMN())),"N/A")</f>
        <v>N/A</v>
      </c>
      <c r="Y1115" s="319" t="str">
        <f ca="1">IFERROR(_xll.TR(MO.Ticker.Thomson,"Min(TR.PriceLow)","sdate:#1 edate:#2",,INDEX(MO_SNA_FPStartDate,0,COLUMN()),INDEX(MO_Common_QEndDate,0,COLUMN())),"N/A")</f>
        <v>N/A</v>
      </c>
      <c r="Z1115" s="319" t="str">
        <f ca="1">IFERROR(_xll.TR(MO.Ticker.Thomson,"Min(TR.PriceLow)","sdate:#1 edate:#2",,INDEX(MO_SNA_FPStartDate,0,COLUMN()),INDEX(MO_Common_QEndDate,0,COLUMN())),"N/A")</f>
        <v>N/A</v>
      </c>
      <c r="AA1115" s="319" t="str">
        <f ca="1">IFERROR(_xll.TR(MO.Ticker.Thomson,"Min(TR.PriceLow)","sdate:#1 edate:#2",,INDEX(MO_SNA_FPStartDate,0,COLUMN()),INDEX(MO_Common_QEndDate,0,COLUMN())),"N/A")</f>
        <v>N/A</v>
      </c>
      <c r="AB1115" s="319" t="str">
        <f ca="1">IFERROR(_xll.TR(MO.Ticker.Thomson,"Min(TR.PriceLow)","sdate:#1 edate:#2",,INDEX(MO_SNA_FPStartDate,0,COLUMN()),INDEX(MO_Common_QEndDate,0,COLUMN())),"N/A")</f>
        <v>N/A</v>
      </c>
      <c r="AC1115" s="319" t="str">
        <f ca="1">IFERROR(_xll.TR(MO.Ticker.Thomson,"Min(TR.PriceLow)","sdate:#1 edate:#2",,INDEX(MO_SNA_FPStartDate,0,COLUMN()),INDEX(MO_Common_QEndDate,0,COLUMN())),"N/A")</f>
        <v>N/A</v>
      </c>
      <c r="AD1115" s="319" t="str">
        <f ca="1">IFERROR(_xll.TR(MO.Ticker.Thomson,"Min(TR.PriceLow)","sdate:#1 edate:#2",,INDEX(MO_SNA_FPStartDate,0,COLUMN()),INDEX(MO_Common_QEndDate,0,COLUMN())),"N/A")</f>
        <v>N/A</v>
      </c>
      <c r="AE1115" s="319" t="str">
        <f ca="1">IFERROR(_xll.TR(MO.Ticker.Thomson,"Min(TR.PriceLow)","sdate:#1 edate:#2",,INDEX(MO_SNA_FPStartDate,0,COLUMN()),INDEX(MO_Common_QEndDate,0,COLUMN())),"N/A")</f>
        <v>N/A</v>
      </c>
      <c r="AF1115" s="319" t="str">
        <f ca="1">IFERROR(_xll.TR(MO.Ticker.Thomson,"Min(TR.PriceLow)","sdate:#1 edate:#2",,INDEX(MO_SNA_FPStartDate,0,COLUMN()),INDEX(MO_Common_QEndDate,0,COLUMN())),"N/A")</f>
        <v>N/A</v>
      </c>
      <c r="AG1115" s="319" t="str">
        <f ca="1">IFERROR(_xll.TR(MO.Ticker.Thomson,"Min(TR.PriceLow)","sdate:#1 edate:#2",,INDEX(MO_SNA_FPStartDate,0,COLUMN()),INDEX(MO_Common_QEndDate,0,COLUMN())),"N/A")</f>
        <v>N/A</v>
      </c>
      <c r="AH1115" s="319" t="str">
        <f ca="1">IFERROR(_xll.TR(MO.Ticker.Thomson,"Min(TR.PriceLow)","sdate:#1 edate:#2",,INDEX(MO_SNA_FPStartDate,0,COLUMN()),INDEX(MO_Common_QEndDate,0,COLUMN())),"N/A")</f>
        <v>N/A</v>
      </c>
      <c r="AI1115" s="319" t="str">
        <f ca="1">IFERROR(_xll.TR(MO.Ticker.Thomson,"Min(TR.PriceLow)","sdate:#1 edate:#2",,INDEX(MO_SNA_FPStartDate,0,COLUMN()),INDEX(MO_Common_QEndDate,0,COLUMN())),"N/A")</f>
        <v>N/A</v>
      </c>
      <c r="AJ1115" s="319" t="str">
        <f ca="1">IFERROR(_xll.TR(MO.Ticker.Thomson,"Min(TR.PriceLow)","sdate:#1 edate:#2",,INDEX(MO_SNA_FPStartDate,0,COLUMN()),INDEX(MO_Common_QEndDate,0,COLUMN())),"N/A")</f>
        <v>N/A</v>
      </c>
      <c r="AK1115" s="319" t="str">
        <f ca="1">IFERROR(_xll.TR(MO.Ticker.Thomson,"Min(TR.PriceLow)","sdate:#1 edate:#2",,INDEX(MO_SNA_FPStartDate,0,COLUMN()),INDEX(MO_Common_QEndDate,0,COLUMN())),"N/A")</f>
        <v>N/A</v>
      </c>
      <c r="AL1115" s="319" t="str">
        <f ca="1">IFERROR(_xll.TR(MO.Ticker.Thomson,"Min(TR.PriceLow)","sdate:#1 edate:#2",,INDEX(MO_SNA_FPStartDate,0,COLUMN()),INDEX(MO_Common_QEndDate,0,COLUMN())),"N/A")</f>
        <v>N/A</v>
      </c>
      <c r="AM1115" s="319" t="str">
        <f ca="1">IFERROR(_xll.TR(MO.Ticker.Thomson,"Min(TR.PriceLow)","sdate:#1 edate:#2",,INDEX(MO_SNA_FPStartDate,0,COLUMN()),INDEX(MO_Common_QEndDate,0,COLUMN())),"N/A")</f>
        <v>N/A</v>
      </c>
      <c r="AN1115" s="319" t="str">
        <f ca="1">IFERROR(_xll.TR(MO.Ticker.Thomson,"Min(TR.PriceLow)","sdate:#1 edate:#2",,INDEX(MO_SNA_FPStartDate,0,COLUMN()),INDEX(MO_Common_QEndDate,0,COLUMN())),"N/A")</f>
        <v>N/A</v>
      </c>
      <c r="AO1115" s="319" t="str">
        <f ca="1">IFERROR(_xll.TR(MO.Ticker.Thomson,"Min(TR.PriceLow)","sdate:#1 edate:#2",,INDEX(MO_SNA_FPStartDate,0,COLUMN()),INDEX(MO_Common_QEndDate,0,COLUMN())),"N/A")</f>
        <v>N/A</v>
      </c>
      <c r="AP1115" s="319" t="str">
        <f ca="1">IFERROR(_xll.TR(MO.Ticker.Thomson,"Min(TR.PriceLow)","sdate:#1 edate:#2",,INDEX(MO_SNA_FPStartDate,0,COLUMN()),INDEX(MO_Common_QEndDate,0,COLUMN())),"N/A")</f>
        <v>N/A</v>
      </c>
      <c r="AQ1115" s="319" t="str">
        <f ca="1">IFERROR(_xll.TR(MO.Ticker.Thomson,"Min(TR.PriceLow)","sdate:#1 edate:#2",,INDEX(MO_SNA_FPStartDate,0,COLUMN()),INDEX(MO_Common_QEndDate,0,COLUMN())),"N/A")</f>
        <v>N/A</v>
      </c>
      <c r="AR1115" s="319" t="str">
        <f ca="1">IFERROR(_xll.TR(MO.Ticker.Thomson,"Min(TR.PriceLow)","sdate:#1 edate:#2",,INDEX(MO_SNA_FPStartDate,0,COLUMN()),INDEX(MO_Common_QEndDate,0,COLUMN())),"N/A")</f>
        <v>N/A</v>
      </c>
      <c r="AS1115" s="319" t="str">
        <f ca="1">IFERROR(_xll.TR(MO.Ticker.Thomson,"Min(TR.PriceLow)","sdate:#1 edate:#2",,INDEX(MO_SNA_FPStartDate,0,COLUMN()),INDEX(MO_Common_QEndDate,0,COLUMN())),"N/A")</f>
        <v>N/A</v>
      </c>
      <c r="AT1115" s="319" t="str">
        <f ca="1">IFERROR(_xll.TR(MO.Ticker.Thomson,"Min(TR.PriceLow)","sdate:#1 edate:#2",,INDEX(MO_SNA_FPStartDate,0,COLUMN()),INDEX(MO_Common_QEndDate,0,COLUMN())),"N/A")</f>
        <v>N/A</v>
      </c>
      <c r="AU1115" s="319" t="str">
        <f ca="1">IFERROR(_xll.TR(MO.Ticker.Thomson,"Min(TR.PriceLow)","sdate:#1 edate:#2",,INDEX(MO_SNA_FPStartDate,0,COLUMN()),INDEX(MO_Common_QEndDate,0,COLUMN())),"N/A")</f>
        <v>N/A</v>
      </c>
      <c r="AV1115" s="319" t="str">
        <f ca="1">IFERROR(_xll.TR(MO.Ticker.Thomson,"Min(TR.PriceLow)","sdate:#1 edate:#2",,INDEX(MO_SNA_FPStartDate,0,COLUMN()),INDEX(MO_Common_QEndDate,0,COLUMN())),"N/A")</f>
        <v>N/A</v>
      </c>
      <c r="AW1115" s="319" t="str">
        <f ca="1">IFERROR(_xll.TR(MO.Ticker.Thomson,"Min(TR.PriceLow)","sdate:#1 edate:#2",,INDEX(MO_SNA_FPStartDate,0,COLUMN()),INDEX(MO_Common_QEndDate,0,COLUMN())),"N/A")</f>
        <v>N/A</v>
      </c>
      <c r="AX1115" s="319" t="str">
        <f ca="1">IFERROR(_xll.TR(MO.Ticker.Thomson,"Min(TR.PriceLow)","sdate:#1 edate:#2",,INDEX(MO_SNA_FPStartDate,0,COLUMN()),INDEX(MO_Common_QEndDate,0,COLUMN())),"N/A")</f>
        <v>N/A</v>
      </c>
      <c r="AY1115" s="319" t="str">
        <f ca="1">IFERROR(_xll.TR(MO.Ticker.Thomson,"Min(TR.PriceLow)","sdate:#1 edate:#2",,INDEX(MO_SNA_FPStartDate,0,COLUMN()),INDEX(MO_Common_QEndDate,0,COLUMN())),"N/A")</f>
        <v>N/A</v>
      </c>
      <c r="AZ1115" s="319" t="str">
        <f ca="1">IFERROR(_xll.TR(MO.Ticker.Thomson,"Min(TR.PriceLow)","sdate:#1 edate:#2",,INDEX(MO_SNA_FPStartDate,0,COLUMN()),INDEX(MO_Common_QEndDate,0,COLUMN())),"N/A")</f>
        <v>N/A</v>
      </c>
      <c r="BA1115" s="319" t="str">
        <f ca="1">IFERROR(_xll.TR(MO.Ticker.Thomson,"Min(TR.PriceLow)","sdate:#1 edate:#2",,INDEX(MO_SNA_FPStartDate,0,COLUMN()),INDEX(MO_Common_QEndDate,0,COLUMN())),"N/A")</f>
        <v>N/A</v>
      </c>
      <c r="BB1115" s="319" t="str">
        <f ca="1">IFERROR(_xll.TR(MO.Ticker.Thomson,"Min(TR.PriceLow)","sdate:#1 edate:#2",,INDEX(MO_SNA_FPStartDate,0,COLUMN()),INDEX(MO_Common_QEndDate,0,COLUMN())),"N/A")</f>
        <v>N/A</v>
      </c>
      <c r="BC1115" s="319" t="str">
        <f ca="1">IFERROR(_xll.TR(MO.Ticker.Thomson,"Min(TR.PriceLow)","sdate:#1 edate:#2",,INDEX(MO_SNA_FPStartDate,0,COLUMN()),INDEX(MO_Common_QEndDate,0,COLUMN())),"N/A")</f>
        <v>N/A</v>
      </c>
      <c r="BD1115" s="319" t="str">
        <f ca="1">IFERROR(_xll.TR(MO.Ticker.Thomson,"Min(TR.PriceLow)","sdate:#1 edate:#2",,INDEX(MO_SNA_FPStartDate,0,COLUMN()),INDEX(MO_Common_QEndDate,0,COLUMN())),"N/A")</f>
        <v>N/A</v>
      </c>
      <c r="BE1115" s="319" t="str">
        <f ca="1">IFERROR(_xll.TR(MO.Ticker.Thomson,"Min(TR.PriceLow)","sdate:#1 edate:#2",,INDEX(MO_SNA_FPStartDate,0,COLUMN()),INDEX(MO_Common_QEndDate,0,COLUMN())),"N/A")</f>
        <v>N/A</v>
      </c>
      <c r="BF1115" s="319" t="str">
        <f ca="1">IFERROR(_xll.TR(MO.Ticker.Thomson,"Min(TR.PriceLow)","sdate:#1 edate:#2",,INDEX(MO_SNA_FPStartDate,0,COLUMN()),INDEX(MO_Common_QEndDate,0,COLUMN())),"N/A")</f>
        <v>N/A</v>
      </c>
      <c r="BG1115" s="319" t="str">
        <f ca="1">IFERROR(_xll.TR(MO.Ticker.Thomson,"Min(TR.PriceLow)","sdate:#1 edate:#2",,INDEX(MO_SNA_FPStartDate,0,COLUMN()),INDEX(MO_Common_QEndDate,0,COLUMN())),"N/A")</f>
        <v>N/A</v>
      </c>
      <c r="BH1115" s="454" t="str">
        <f ca="1">IFERROR(_xll.TR(MO.Ticker.Thomson,"Min(TR.PriceLow)","sdate:#1 edate:#2",,INDEX(MO_SNA_FPStartDate,0,COLUMN()),INDEX(MO_Common_QEndDate,0,COLUMN())),"N/A")</f>
        <v>N/A</v>
      </c>
      <c r="BI1115" s="319" t="str">
        <f ca="1">IFERROR(_xll.TR(MO.Ticker.Thomson,"Min(TR.PriceLow)","sdate:#1 edate:#2",,INDEX(MO_SNA_FPStartDate,0,COLUMN()),INDEX(MO_Common_QEndDate,0,COLUMN())),"N/A")</f>
        <v>N/A</v>
      </c>
      <c r="BJ1115" s="319" t="str">
        <f ca="1">IFERROR(_xll.TR(MO.Ticker.Thomson,"Min(TR.PriceLow)","sdate:#1 edate:#2",,INDEX(MO_SNA_FPStartDate,0,COLUMN()),INDEX(MO_Common_QEndDate,0,COLUMN())),"N/A")</f>
        <v>N/A</v>
      </c>
      <c r="BK1115" s="319" t="str">
        <f ca="1">IFERROR(_xll.TR(MO.Ticker.Thomson,"Min(TR.PriceLow)","sdate:#1 edate:#2",,INDEX(MO_SNA_FPStartDate,0,COLUMN()),INDEX(MO_Common_QEndDate,0,COLUMN())),"N/A")</f>
        <v>N/A</v>
      </c>
      <c r="BL1115" s="319" t="str">
        <f ca="1">IFERROR(_xll.TR(MO.Ticker.Thomson,"Min(TR.PriceLow)","sdate:#1 edate:#2",,INDEX(MO_SNA_FPStartDate,0,COLUMN()),INDEX(MO_Common_QEndDate,0,COLUMN())),"N/A")</f>
        <v>N/A</v>
      </c>
      <c r="BM1115" s="319" t="str">
        <f ca="1">IFERROR(_xll.TR(MO.Ticker.Thomson,"Min(TR.PriceLow)","sdate:#1 edate:#2",,INDEX(MO_SNA_FPStartDate,0,COLUMN()),INDEX(MO_Common_QEndDate,0,COLUMN())),"N/A")</f>
        <v>N/A</v>
      </c>
      <c r="BN1115" s="319" t="str">
        <f ca="1">IFERROR(_xll.TR(MO.Ticker.Thomson,"Min(TR.PriceLow)","sdate:#1 edate:#2",,INDEX(MO_SNA_FPStartDate,0,COLUMN()),INDEX(MO_Common_QEndDate,0,COLUMN())),"N/A")</f>
        <v>N/A</v>
      </c>
      <c r="BO1115" s="319" t="str">
        <f ca="1">IFERROR(_xll.TR(MO.Ticker.Thomson,"Min(TR.PriceLow)","sdate:#1 edate:#2",,INDEX(MO_SNA_FPStartDate,0,COLUMN()),INDEX(MO_Common_QEndDate,0,COLUMN())),"N/A")</f>
        <v>N/A</v>
      </c>
      <c r="BP1115" s="319" t="str">
        <f ca="1">IFERROR(_xll.TR(MO.Ticker.Thomson,"Min(TR.PriceLow)","sdate:#1 edate:#2",,INDEX(MO_SNA_FPStartDate,0,COLUMN()),INDEX(MO_Common_QEndDate,0,COLUMN())),"N/A")</f>
        <v>N/A</v>
      </c>
      <c r="BQ1115" s="319" t="str">
        <f ca="1">IFERROR(_xll.TR(MO.Ticker.Thomson,"Min(TR.PriceLow)","sdate:#1 edate:#2",,INDEX(MO_SNA_FPStartDate,0,COLUMN()),INDEX(MO_Common_QEndDate,0,COLUMN())),"N/A")</f>
        <v>N/A</v>
      </c>
      <c r="BR1115" s="321" t="str">
        <f ca="1">IFERROR(_xll.TR(MO.Ticker.Thomson,"Min(TR.PriceLow)","sdate:#1 edate:#2",,INDEX(MO_SNA_FPStartDate,0,COLUMN()),INDEX(MO_Common_QEndDate,0,COLUMN())),"N/A")</f>
        <v>N/A</v>
      </c>
      <c r="BS1115" s="355"/>
    </row>
    <row r="1116" spans="1:71" s="22" customFormat="1" ht="15" hidden="1" outlineLevel="1">
      <c r="A1116" s="298"/>
      <c r="B1116" s="819"/>
      <c r="C1116" s="312"/>
      <c r="D1116" s="312"/>
      <c r="E1116" s="819"/>
      <c r="F1116" s="819"/>
      <c r="G1116" s="819"/>
      <c r="H1116" s="819"/>
      <c r="I1116" s="819"/>
      <c r="J1116" s="819"/>
      <c r="K1116" s="819"/>
      <c r="L1116" s="819"/>
      <c r="M1116" s="819"/>
      <c r="N1116" s="819"/>
      <c r="O1116" s="819"/>
      <c r="P1116" s="819"/>
      <c r="Q1116" s="819"/>
      <c r="R1116" s="819"/>
      <c r="S1116" s="819"/>
      <c r="T1116" s="819"/>
      <c r="U1116" s="819"/>
      <c r="V1116" s="819"/>
      <c r="W1116" s="819"/>
      <c r="X1116" s="819"/>
      <c r="Y1116" s="819"/>
      <c r="Z1116" s="819"/>
      <c r="AA1116" s="819"/>
      <c r="AB1116" s="819"/>
      <c r="AC1116" s="819"/>
      <c r="AD1116" s="819"/>
      <c r="AE1116" s="819"/>
      <c r="AF1116" s="819"/>
      <c r="AG1116" s="819"/>
      <c r="AH1116" s="819"/>
      <c r="AI1116" s="819"/>
      <c r="AJ1116" s="819"/>
      <c r="AK1116" s="819"/>
      <c r="AL1116" s="819"/>
      <c r="AM1116" s="819"/>
      <c r="AN1116" s="819"/>
      <c r="AO1116" s="819"/>
      <c r="AP1116" s="819"/>
      <c r="AQ1116" s="819"/>
      <c r="AR1116" s="819"/>
      <c r="AS1116" s="819"/>
      <c r="AT1116" s="819"/>
      <c r="AU1116" s="819"/>
      <c r="AV1116" s="819"/>
      <c r="AW1116" s="819"/>
      <c r="AX1116" s="819"/>
      <c r="AY1116" s="819"/>
      <c r="AZ1116" s="819"/>
      <c r="BA1116" s="819"/>
      <c r="BB1116" s="819"/>
      <c r="BC1116" s="819"/>
      <c r="BD1116" s="819"/>
      <c r="BE1116" s="819"/>
      <c r="BF1116" s="819"/>
      <c r="BG1116" s="819"/>
      <c r="BH1116" s="820"/>
      <c r="BI1116" s="819"/>
      <c r="BJ1116" s="819"/>
      <c r="BK1116" s="819"/>
      <c r="BL1116" s="819"/>
      <c r="BM1116" s="819"/>
      <c r="BN1116" s="819"/>
      <c r="BO1116" s="819"/>
      <c r="BP1116" s="819"/>
      <c r="BQ1116" s="819"/>
      <c r="BR1116" s="297"/>
      <c r="BS1116" s="351"/>
    </row>
    <row r="1117" spans="1:71" s="322" customFormat="1" ht="15" collapsed="1">
      <c r="A1117" s="318" t="str">
        <f ca="1">"Stock Average: "&amp;IF(OR(MO.RealTimeStockPriceToggle=FALSE,VLOOKUP(MO.DataSourceName,MO_SPT_StockAverage_Sources,COLUMN()+2,FALSE)="N/A"),"Real-Time Off Source",MO.DataSourceName)</f>
        <v>Stock Average: Real-Time Off Source</v>
      </c>
      <c r="B1117" s="319"/>
      <c r="C1117" s="320">
        <f ca="1" t="shared" si="2728" ref="C1117:AP1117">IF(OR(MO.RealTimeStockPriceToggle=FALSE,VLOOKUP(MO.DataSourceName,MO_SPT_StockAverage_Sources,COLUMN(),FALSE)="N/A"),VLOOKUP("Real-Time Off Source",MO_SPT_StockAverage_Sources,COLUMN(),FALSE),VLOOKUP(MO.DataSourceName,MO_SPT_StockAverage_Sources,COLUMN(),FALSE))</f>
        <v>23.635</v>
      </c>
      <c r="D1117" s="320">
        <f t="shared" ca="1" si="2728"/>
        <v>31.185</v>
      </c>
      <c r="E1117" s="319">
        <f t="shared" ca="1" si="2728"/>
        <v>28.335</v>
      </c>
      <c r="F1117" s="319">
        <f t="shared" ca="1" si="2728"/>
        <v>34.895000000000003</v>
      </c>
      <c r="G1117" s="319">
        <f t="shared" ca="1" si="2728"/>
        <v>47.745</v>
      </c>
      <c r="H1117" s="319">
        <f t="shared" ca="1" si="2728"/>
        <v>52.915</v>
      </c>
      <c r="I1117" s="319">
        <f t="shared" ca="1" si="2728"/>
        <v>57.245</v>
      </c>
      <c r="J1117" s="319">
        <f t="shared" ca="1" si="2728"/>
        <v>59.61</v>
      </c>
      <c r="K1117" s="319">
        <f t="shared" ca="1" si="2728"/>
        <v>65.405</v>
      </c>
      <c r="L1117" s="319">
        <f t="shared" ca="1" si="2728"/>
        <v>58.79375</v>
      </c>
      <c r="M1117" s="319">
        <f t="shared" ca="1" si="2728"/>
        <v>70.625</v>
      </c>
      <c r="N1117" s="319">
        <f t="shared" ca="1" si="2728"/>
        <v>68.565</v>
      </c>
      <c r="O1117" s="319">
        <f t="shared" ca="1" si="2728"/>
        <v>61.80</v>
      </c>
      <c r="P1117" s="319">
        <f t="shared" ca="1" si="2728"/>
        <v>60.83</v>
      </c>
      <c r="Q1117" s="319">
        <f t="shared" ca="1" si="2728"/>
        <v>65.455</v>
      </c>
      <c r="R1117" s="319">
        <f t="shared" ca="1" si="2728"/>
        <v>61.975</v>
      </c>
      <c r="S1117" s="319">
        <f t="shared" ca="1" si="2728"/>
        <v>67.155</v>
      </c>
      <c r="T1117" s="319">
        <f t="shared" ca="1" si="2728"/>
        <v>68.81</v>
      </c>
      <c r="U1117" s="319">
        <f t="shared" ca="1" si="2728"/>
        <v>70.66</v>
      </c>
      <c r="V1117" s="319">
        <f t="shared" ca="1" si="2728"/>
        <v>67.150000000000006</v>
      </c>
      <c r="W1117" s="319">
        <f t="shared" ca="1" si="2728"/>
        <v>78.065</v>
      </c>
      <c r="X1117" s="319">
        <f t="shared" ca="1" si="2728"/>
        <v>84.915</v>
      </c>
      <c r="Y1117" s="319">
        <f t="shared" ca="1" si="2728"/>
        <v>90.42</v>
      </c>
      <c r="Z1117" s="319">
        <f t="shared" ca="1" si="2728"/>
        <v>97.99</v>
      </c>
      <c r="AA1117" s="319">
        <f t="shared" ca="1" si="2728"/>
        <v>87.8475</v>
      </c>
      <c r="AB1117" s="319">
        <f t="shared" ca="1" si="2728"/>
        <v>95.133890163934396</v>
      </c>
      <c r="AC1117" s="319">
        <f t="shared" ca="1" si="2728"/>
        <v>93.827601562500007</v>
      </c>
      <c r="AD1117" s="319">
        <f t="shared" ca="1" si="2728"/>
        <v>96.726738095238105</v>
      </c>
      <c r="AE1117" s="319">
        <f t="shared" ca="1" si="2728"/>
        <v>89.467874603174593</v>
      </c>
      <c r="AF1117" s="319">
        <f t="shared" ca="1" si="2728"/>
        <v>93.778463745019906</v>
      </c>
      <c r="AG1117" s="319">
        <f t="shared" ca="1" si="2728"/>
        <v>90.452459016393405</v>
      </c>
      <c r="AH1117" s="319">
        <f t="shared" ca="1" si="2728"/>
        <v>97.704285714285703</v>
      </c>
      <c r="AI1117" s="319">
        <f t="shared" ca="1" si="2728"/>
        <v>104.358125</v>
      </c>
      <c r="AJ1117" s="319">
        <f t="shared" ca="1" si="2728"/>
        <v>109.155</v>
      </c>
      <c r="AK1117" s="319">
        <f t="shared" ca="1" si="2728"/>
        <v>100.54686507936501</v>
      </c>
      <c r="AL1117" s="319">
        <f ca="1">IF(OR(MO.RealTimeStockPriceToggle=FALSE,VLOOKUP(MO.DataSourceName,MO_SPT_StockAverage_Sources,COLUMN(),FALSE)="N/A"),VLOOKUP("Real-Time Off Source",MO_SPT_StockAverage_Sources,COLUMN(),FALSE),VLOOKUP(MO.DataSourceName,MO_SPT_StockAverage_Sources,COLUMN(),FALSE))</f>
        <v>108.727741935484</v>
      </c>
      <c r="AM1117" s="319">
        <f ca="1">IF(OR(MO.RealTimeStockPriceToggle=FALSE,VLOOKUP(MO.DataSourceName,MO_SPT_StockAverage_Sources,COLUMN(),FALSE)="N/A"),VLOOKUP("Real-Time Off Source",MO_SPT_StockAverage_Sources,COLUMN(),FALSE),VLOOKUP(MO.DataSourceName,MO_SPT_StockAverage_Sources,COLUMN(),FALSE))</f>
        <v>98.251904761904797</v>
      </c>
      <c r="AN1117" s="319">
        <f ca="1">IF(OR(MO.RealTimeStockPriceToggle=FALSE,VLOOKUP(MO.DataSourceName,MO_SPT_StockAverage_Sources,COLUMN(),FALSE)="N/A"),VLOOKUP("Real-Time Off Source",MO_SPT_StockAverage_Sources,COLUMN(),FALSE),VLOOKUP(MO.DataSourceName,MO_SPT_StockAverage_Sources,COLUMN(),FALSE))</f>
        <v>93.2909375</v>
      </c>
      <c r="AO1117" s="319">
        <f t="shared" ca="1" si="2728"/>
        <v>98.289375</v>
      </c>
      <c r="AP1117" s="319">
        <f t="shared" ca="1" si="2728"/>
        <v>99.573636363636297</v>
      </c>
      <c r="AQ1117" s="319">
        <f ca="1" t="shared" si="2729" ref="AQ1117:AV1117">IF(OR(MO.RealTimeStockPriceToggle=FALSE,VLOOKUP(MO.DataSourceName,MO_SPT_StockAverage_Sources,COLUMN(),FALSE)="N/A"),VLOOKUP("Real-Time Off Source",MO_SPT_StockAverage_Sources,COLUMN(),FALSE),VLOOKUP(MO.DataSourceName,MO_SPT_StockAverage_Sources,COLUMN(),FALSE))</f>
        <v>110.19262295082</v>
      </c>
      <c r="AR1117" s="319">
        <f t="shared" ca="1" si="2729"/>
        <v>129.18666666666701</v>
      </c>
      <c r="AS1117" s="319">
        <f t="shared" ca="1" si="2729"/>
        <v>132.15234375</v>
      </c>
      <c r="AT1117" s="319">
        <f t="shared" ca="1" si="2729"/>
        <v>118.29953125</v>
      </c>
      <c r="AU1117" s="319">
        <f t="shared" ca="1" si="2729"/>
        <v>122.577103174603</v>
      </c>
      <c r="AV1117" s="319">
        <f t="shared" ca="1" si="2729"/>
        <v>125.522903225806</v>
      </c>
      <c r="AW1117" s="319">
        <f ca="1" t="shared" si="2730" ref="AW1117:BJ1117">IF(OR(MO.RealTimeStockPriceToggle=FALSE,VLOOKUP(MO.DataSourceName,MO_SPT_StockAverage_Sources,COLUMN(),FALSE)="N/A"),VLOOKUP("Real-Time Off Source",MO_SPT_StockAverage_Sources,COLUMN(),FALSE),VLOOKUP(MO.DataSourceName,MO_SPT_StockAverage_Sources,COLUMN(),FALSE))</f>
        <v>131.01596774193499</v>
      </c>
      <c r="AX1117" s="319">
        <f t="shared" ca="1" si="2730"/>
        <v>124.24765625000001</v>
      </c>
      <c r="AY1117" s="319">
        <f t="shared" ca="1" si="2730"/>
        <v>130.769682539683</v>
      </c>
      <c r="AZ1117" s="319">
        <f t="shared" ca="1" si="2730"/>
        <v>127.871513944223</v>
      </c>
      <c r="BA1117" s="319">
        <f ca="1" t="shared" si="2731" ref="BA1117:BI1117">IF(OR(MO.RealTimeStockPriceToggle=FALSE,VLOOKUP(MO.DataSourceName,MO_SPT_StockAverage_Sources,COLUMN(),FALSE)="N/A"),VLOOKUP("Real-Time Off Source",MO_SPT_StockAverage_Sources,COLUMN(),FALSE),VLOOKUP(MO.DataSourceName,MO_SPT_StockAverage_Sources,COLUMN(),FALSE))</f>
        <v>126.41370967741901</v>
      </c>
      <c r="BB1117" s="319">
        <f t="shared" ca="1" si="2731"/>
        <v>113.43516129032299</v>
      </c>
      <c r="BC1117" s="319">
        <f t="shared" ca="1" si="2731"/>
        <v>109.12095238095201</v>
      </c>
      <c r="BD1117" s="319">
        <f t="shared" ca="1" si="2731"/>
        <v>130.38952380952401</v>
      </c>
      <c r="BE1117" s="319">
        <f t="shared" ca="1" si="2731"/>
        <v>119.83916000000001</v>
      </c>
      <c r="BF1117" s="319">
        <f ca="1">IF(OR(MO.RealTimeStockPriceToggle=FALSE,VLOOKUP(MO.DataSourceName,MO_SPT_StockAverage_Sources,COLUMN(),FALSE)="N/A"),VLOOKUP("Real-Time Off Source",MO_SPT_StockAverage_Sources,COLUMN(),FALSE),VLOOKUP(MO.DataSourceName,MO_SPT_StockAverage_Sources,COLUMN(),FALSE))</f>
        <v>157.84901639344301</v>
      </c>
      <c r="BG1117" s="319">
        <f ca="1">IF(OR(MO.RealTimeStockPriceToggle=FALSE,VLOOKUP(MO.DataSourceName,MO_SPT_StockAverage_Sources,COLUMN(),FALSE)="N/A"),VLOOKUP("Real-Time Off Source",MO_SPT_StockAverage_Sources,COLUMN(),FALSE),VLOOKUP(MO.DataSourceName,MO_SPT_StockAverage_Sources,COLUMN(),FALSE))</f>
        <v>166.81333333333299</v>
      </c>
      <c r="BH1117" s="454">
        <f ca="1">IF(OR(MO.RealTimeStockPriceToggle=FALSE,VLOOKUP(MO.DataSourceName,MO_SPT_StockAverage_Sources,COLUMN(),FALSE)="N/A"),VLOOKUP("Real-Time Off Source",MO_SPT_StockAverage_Sources,COLUMN(),FALSE),VLOOKUP(MO.DataSourceName,MO_SPT_StockAverage_Sources,COLUMN(),FALSE))</f>
        <v>177.58953124999999</v>
      </c>
      <c r="BI1117" s="319">
        <f t="shared" ca="1" si="2731"/>
        <v>0</v>
      </c>
      <c r="BJ1117" s="319">
        <f t="shared" ca="1" si="2730"/>
        <v>0</v>
      </c>
      <c r="BK1117" s="319">
        <f ca="1" t="shared" si="2732" ref="BK1117:BR1117">IF(OR(MO.RealTimeStockPriceToggle=FALSE,VLOOKUP(MO.DataSourceName,MO_SPT_StockAverage_Sources,COLUMN(),FALSE)="N/A"),VLOOKUP("Real-Time Off Source",MO_SPT_StockAverage_Sources,COLUMN(),FALSE),VLOOKUP(MO.DataSourceName,MO_SPT_StockAverage_Sources,COLUMN(),FALSE))</f>
        <v>0</v>
      </c>
      <c r="BL1117" s="319">
        <f t="shared" ca="1" si="2732"/>
        <v>0</v>
      </c>
      <c r="BM1117" s="319">
        <f t="shared" ca="1" si="2732"/>
        <v>0</v>
      </c>
      <c r="BN1117" s="319">
        <f t="shared" ca="1" si="2732"/>
        <v>0</v>
      </c>
      <c r="BO1117" s="319">
        <f t="shared" ca="1" si="2732"/>
        <v>0</v>
      </c>
      <c r="BP1117" s="319">
        <f t="shared" ca="1" si="2732"/>
        <v>0</v>
      </c>
      <c r="BQ1117" s="319">
        <f t="shared" ca="1" si="2732"/>
        <v>0</v>
      </c>
      <c r="BR1117" s="321">
        <f t="shared" ca="1" si="2732"/>
        <v>0</v>
      </c>
      <c r="BS1117" s="355"/>
    </row>
    <row r="1118" spans="1:71" s="322" customFormat="1" ht="15" hidden="1" outlineLevel="1">
      <c r="A1118" s="323" t="s">
        <v>242</v>
      </c>
      <c r="B1118" s="319"/>
      <c r="C1118" s="955">
        <v>23.635</v>
      </c>
      <c r="D1118" s="955">
        <v>31.185</v>
      </c>
      <c r="E1118" s="956">
        <v>28.335</v>
      </c>
      <c r="F1118" s="956">
        <v>34.895000000000003</v>
      </c>
      <c r="G1118" s="956">
        <v>47.745</v>
      </c>
      <c r="H1118" s="956">
        <v>52.915</v>
      </c>
      <c r="I1118" s="956">
        <v>57.245</v>
      </c>
      <c r="J1118" s="956">
        <v>59.61</v>
      </c>
      <c r="K1118" s="956">
        <v>65.405</v>
      </c>
      <c r="L1118" s="956">
        <v>58.79375</v>
      </c>
      <c r="M1118" s="956">
        <v>70.625</v>
      </c>
      <c r="N1118" s="956">
        <v>68.565</v>
      </c>
      <c r="O1118" s="956">
        <v>61.80</v>
      </c>
      <c r="P1118" s="956">
        <v>60.83</v>
      </c>
      <c r="Q1118" s="956">
        <v>65.455</v>
      </c>
      <c r="R1118" s="956">
        <v>61.975</v>
      </c>
      <c r="S1118" s="956">
        <v>67.155</v>
      </c>
      <c r="T1118" s="956">
        <v>68.81</v>
      </c>
      <c r="U1118" s="956">
        <v>70.66</v>
      </c>
      <c r="V1118" s="956">
        <v>67.150000000000006</v>
      </c>
      <c r="W1118" s="956">
        <v>78.065</v>
      </c>
      <c r="X1118" s="956">
        <v>84.915</v>
      </c>
      <c r="Y1118" s="956">
        <v>90.42</v>
      </c>
      <c r="Z1118" s="956">
        <v>97.99</v>
      </c>
      <c r="AA1118" s="956">
        <v>87.8475</v>
      </c>
      <c r="AB1118" s="956">
        <v>95.133890163934396</v>
      </c>
      <c r="AC1118" s="956">
        <v>93.827601562500007</v>
      </c>
      <c r="AD1118" s="956">
        <v>96.726738095238105</v>
      </c>
      <c r="AE1118" s="956">
        <v>89.467874603174593</v>
      </c>
      <c r="AF1118" s="956">
        <v>93.778463745019906</v>
      </c>
      <c r="AG1118" s="956">
        <v>90.452459016393405</v>
      </c>
      <c r="AH1118" s="956">
        <v>97.704285714285703</v>
      </c>
      <c r="AI1118" s="956">
        <v>104.358125</v>
      </c>
      <c r="AJ1118" s="956">
        <v>109.155</v>
      </c>
      <c r="AK1118" s="956">
        <v>100.54686507936501</v>
      </c>
      <c r="AL1118" s="956">
        <v>108.727741935484</v>
      </c>
      <c r="AM1118" s="956">
        <v>98.251904761904797</v>
      </c>
      <c r="AN1118" s="956">
        <v>93.2909375</v>
      </c>
      <c r="AO1118" s="956">
        <v>98.289375</v>
      </c>
      <c r="AP1118" s="956">
        <v>99.573636363636297</v>
      </c>
      <c r="AQ1118" s="956">
        <v>110.19262295082</v>
      </c>
      <c r="AR1118" s="956">
        <v>129.18666666666701</v>
      </c>
      <c r="AS1118" s="956">
        <v>132.15234375</v>
      </c>
      <c r="AT1118" s="956">
        <v>118.29953125</v>
      </c>
      <c r="AU1118" s="956">
        <v>122.577103174603</v>
      </c>
      <c r="AV1118" s="956">
        <v>125.522903225806</v>
      </c>
      <c r="AW1118" s="956">
        <v>131.01596774193499</v>
      </c>
      <c r="AX1118" s="956">
        <v>124.24765625000001</v>
      </c>
      <c r="AY1118" s="956">
        <v>130.769682539683</v>
      </c>
      <c r="AZ1118" s="956">
        <v>127.871513944223</v>
      </c>
      <c r="BA1118" s="956">
        <v>126.41370967741901</v>
      </c>
      <c r="BB1118" s="956">
        <v>113.43516129032299</v>
      </c>
      <c r="BC1118" s="956">
        <v>109.12095238095201</v>
      </c>
      <c r="BD1118" s="956">
        <v>130.38952380952401</v>
      </c>
      <c r="BE1118" s="956">
        <v>119.83916000000001</v>
      </c>
      <c r="BF1118" s="956">
        <v>157.84901639344301</v>
      </c>
      <c r="BG1118" s="956">
        <v>166.81333333333299</v>
      </c>
      <c r="BH1118" s="957">
        <v>177.58953124999999</v>
      </c>
      <c r="BI1118" s="319"/>
      <c r="BJ1118" s="319"/>
      <c r="BK1118" s="319"/>
      <c r="BL1118" s="319"/>
      <c r="BM1118" s="319"/>
      <c r="BN1118" s="319"/>
      <c r="BO1118" s="319"/>
      <c r="BP1118" s="319"/>
      <c r="BQ1118" s="319"/>
      <c r="BR1118" s="321"/>
      <c r="BS1118" s="355"/>
    </row>
    <row r="1119" spans="1:71" s="322" customFormat="1" ht="15" hidden="1" outlineLevel="1">
      <c r="A1119" s="323" t="s">
        <v>7</v>
      </c>
      <c r="B1119" s="319"/>
      <c r="C1119" s="320" t="str">
        <f ca="1">IFERROR(BDP(MO.Ticker.Bloomberg&amp;" Equity","INTERVAL_AVG","MARKET_DATA_OVERRIDE=PX_LAST","START_DATE_OVERRIDE",TEXT(INDEX(MO_SNA_FPStartDate,0,COLUMN()),"YYYYMMDD"),"END_DATE_OVERRIDE",TEXT(INDEX(MO_Common_QEndDate,0,COLUMN()),"YYYYMMDD")),"N/A")</f>
        <v>N/A</v>
      </c>
      <c r="D1119" s="320" t="str">
        <f ca="1">IFERROR(BDP(MO.Ticker.Bloomberg&amp;" Equity","INTERVAL_AVG","MARKET_DATA_OVERRIDE=PX_LAST","START_DATE_OVERRIDE",TEXT(INDEX(MO_SNA_FPStartDate,0,COLUMN()),"YYYYMMDD"),"END_DATE_OVERRIDE",TEXT(INDEX(MO_Common_QEndDate,0,COLUMN()),"YYYYMMDD")),"N/A")</f>
        <v>N/A</v>
      </c>
      <c r="E1119" s="319" t="str">
        <f ca="1">IFERROR(BDP(MO.Ticker.Bloomberg&amp;" Equity","INTERVAL_AVG","MARKET_DATA_OVERRIDE=PX_LAST","START_DATE_OVERRIDE",TEXT(INDEX(MO_SNA_FPStartDate,0,COLUMN()),"YYYYMMDD"),"END_DATE_OVERRIDE",TEXT(INDEX(MO_Common_QEndDate,0,COLUMN()),"YYYYMMDD")),"N/A")</f>
        <v>N/A</v>
      </c>
      <c r="F1119" s="319" t="str">
        <f ca="1">IFERROR(BDP(MO.Ticker.Bloomberg&amp;" Equity","INTERVAL_AVG","MARKET_DATA_OVERRIDE=PX_LAST","START_DATE_OVERRIDE",TEXT(INDEX(MO_SNA_FPStartDate,0,COLUMN()),"YYYYMMDD"),"END_DATE_OVERRIDE",TEXT(INDEX(MO_Common_QEndDate,0,COLUMN()),"YYYYMMDD")),"N/A")</f>
        <v>N/A</v>
      </c>
      <c r="G1119" s="319" t="str">
        <f ca="1">IFERROR(BDP(MO.Ticker.Bloomberg&amp;" Equity","INTERVAL_AVG","MARKET_DATA_OVERRIDE=PX_LAST","START_DATE_OVERRIDE",TEXT(INDEX(MO_SNA_FPStartDate,0,COLUMN()),"YYYYMMDD"),"END_DATE_OVERRIDE",TEXT(INDEX(MO_Common_QEndDate,0,COLUMN()),"YYYYMMDD")),"N/A")</f>
        <v>N/A</v>
      </c>
      <c r="H1119" s="319" t="str">
        <f ca="1">IFERROR(BDP(MO.Ticker.Bloomberg&amp;" Equity","INTERVAL_AVG","MARKET_DATA_OVERRIDE=PX_LAST","START_DATE_OVERRIDE",TEXT(INDEX(MO_SNA_FPStartDate,0,COLUMN()),"YYYYMMDD"),"END_DATE_OVERRIDE",TEXT(INDEX(MO_Common_QEndDate,0,COLUMN()),"YYYYMMDD")),"N/A")</f>
        <v>N/A</v>
      </c>
      <c r="I1119" s="319" t="str">
        <f ca="1">IFERROR(BDP(MO.Ticker.Bloomberg&amp;" Equity","INTERVAL_AVG","MARKET_DATA_OVERRIDE=PX_LAST","START_DATE_OVERRIDE",TEXT(INDEX(MO_SNA_FPStartDate,0,COLUMN()),"YYYYMMDD"),"END_DATE_OVERRIDE",TEXT(INDEX(MO_Common_QEndDate,0,COLUMN()),"YYYYMMDD")),"N/A")</f>
        <v>N/A</v>
      </c>
      <c r="J1119" s="319" t="str">
        <f ca="1">IFERROR(BDP(MO.Ticker.Bloomberg&amp;" Equity","INTERVAL_AVG","MARKET_DATA_OVERRIDE=PX_LAST","START_DATE_OVERRIDE",TEXT(INDEX(MO_SNA_FPStartDate,0,COLUMN()),"YYYYMMDD"),"END_DATE_OVERRIDE",TEXT(INDEX(MO_Common_QEndDate,0,COLUMN()),"YYYYMMDD")),"N/A")</f>
        <v>N/A</v>
      </c>
      <c r="K1119" s="319" t="str">
        <f ca="1">IFERROR(BDP(MO.Ticker.Bloomberg&amp;" Equity","INTERVAL_AVG","MARKET_DATA_OVERRIDE=PX_LAST","START_DATE_OVERRIDE",TEXT(INDEX(MO_SNA_FPStartDate,0,COLUMN()),"YYYYMMDD"),"END_DATE_OVERRIDE",TEXT(INDEX(MO_Common_QEndDate,0,COLUMN()),"YYYYMMDD")),"N/A")</f>
        <v>N/A</v>
      </c>
      <c r="L1119" s="319" t="str">
        <f ca="1">IFERROR(BDP(MO.Ticker.Bloomberg&amp;" Equity","INTERVAL_AVG","MARKET_DATA_OVERRIDE=PX_LAST","START_DATE_OVERRIDE",TEXT(INDEX(MO_SNA_FPStartDate,0,COLUMN()),"YYYYMMDD"),"END_DATE_OVERRIDE",TEXT(INDEX(MO_Common_QEndDate,0,COLUMN()),"YYYYMMDD")),"N/A")</f>
        <v>N/A</v>
      </c>
      <c r="M1119" s="319" t="str">
        <f ca="1">IFERROR(BDP(MO.Ticker.Bloomberg&amp;" Equity","INTERVAL_AVG","MARKET_DATA_OVERRIDE=PX_LAST","START_DATE_OVERRIDE",TEXT(INDEX(MO_SNA_FPStartDate,0,COLUMN()),"YYYYMMDD"),"END_DATE_OVERRIDE",TEXT(INDEX(MO_Common_QEndDate,0,COLUMN()),"YYYYMMDD")),"N/A")</f>
        <v>N/A</v>
      </c>
      <c r="N1119" s="319" t="str">
        <f ca="1">IFERROR(BDP(MO.Ticker.Bloomberg&amp;" Equity","INTERVAL_AVG","MARKET_DATA_OVERRIDE=PX_LAST","START_DATE_OVERRIDE",TEXT(INDEX(MO_SNA_FPStartDate,0,COLUMN()),"YYYYMMDD"),"END_DATE_OVERRIDE",TEXT(INDEX(MO_Common_QEndDate,0,COLUMN()),"YYYYMMDD")),"N/A")</f>
        <v>N/A</v>
      </c>
      <c r="O1119" s="319" t="str">
        <f ca="1">IFERROR(BDP(MO.Ticker.Bloomberg&amp;" Equity","INTERVAL_AVG","MARKET_DATA_OVERRIDE=PX_LAST","START_DATE_OVERRIDE",TEXT(INDEX(MO_SNA_FPStartDate,0,COLUMN()),"YYYYMMDD"),"END_DATE_OVERRIDE",TEXT(INDEX(MO_Common_QEndDate,0,COLUMN()),"YYYYMMDD")),"N/A")</f>
        <v>N/A</v>
      </c>
      <c r="P1119" s="319" t="str">
        <f ca="1">IFERROR(BDP(MO.Ticker.Bloomberg&amp;" Equity","INTERVAL_AVG","MARKET_DATA_OVERRIDE=PX_LAST","START_DATE_OVERRIDE",TEXT(INDEX(MO_SNA_FPStartDate,0,COLUMN()),"YYYYMMDD"),"END_DATE_OVERRIDE",TEXT(INDEX(MO_Common_QEndDate,0,COLUMN()),"YYYYMMDD")),"N/A")</f>
        <v>N/A</v>
      </c>
      <c r="Q1119" s="319" t="str">
        <f ca="1">IFERROR(BDP(MO.Ticker.Bloomberg&amp;" Equity","INTERVAL_AVG","MARKET_DATA_OVERRIDE=PX_LAST","START_DATE_OVERRIDE",TEXT(INDEX(MO_SNA_FPStartDate,0,COLUMN()),"YYYYMMDD"),"END_DATE_OVERRIDE",TEXT(INDEX(MO_Common_QEndDate,0,COLUMN()),"YYYYMMDD")),"N/A")</f>
        <v>N/A</v>
      </c>
      <c r="R1119" s="319" t="str">
        <f ca="1">IFERROR(BDP(MO.Ticker.Bloomberg&amp;" Equity","INTERVAL_AVG","MARKET_DATA_OVERRIDE=PX_LAST","START_DATE_OVERRIDE",TEXT(INDEX(MO_SNA_FPStartDate,0,COLUMN()),"YYYYMMDD"),"END_DATE_OVERRIDE",TEXT(INDEX(MO_Common_QEndDate,0,COLUMN()),"YYYYMMDD")),"N/A")</f>
        <v>N/A</v>
      </c>
      <c r="S1119" s="319" t="str">
        <f ca="1">IFERROR(BDP(MO.Ticker.Bloomberg&amp;" Equity","INTERVAL_AVG","MARKET_DATA_OVERRIDE=PX_LAST","START_DATE_OVERRIDE",TEXT(INDEX(MO_SNA_FPStartDate,0,COLUMN()),"YYYYMMDD"),"END_DATE_OVERRIDE",TEXT(INDEX(MO_Common_QEndDate,0,COLUMN()),"YYYYMMDD")),"N/A")</f>
        <v>N/A</v>
      </c>
      <c r="T1119" s="319" t="str">
        <f ca="1">IFERROR(BDP(MO.Ticker.Bloomberg&amp;" Equity","INTERVAL_AVG","MARKET_DATA_OVERRIDE=PX_LAST","START_DATE_OVERRIDE",TEXT(INDEX(MO_SNA_FPStartDate,0,COLUMN()),"YYYYMMDD"),"END_DATE_OVERRIDE",TEXT(INDEX(MO_Common_QEndDate,0,COLUMN()),"YYYYMMDD")),"N/A")</f>
        <v>N/A</v>
      </c>
      <c r="U1119" s="319" t="str">
        <f ca="1">IFERROR(BDP(MO.Ticker.Bloomberg&amp;" Equity","INTERVAL_AVG","MARKET_DATA_OVERRIDE=PX_LAST","START_DATE_OVERRIDE",TEXT(INDEX(MO_SNA_FPStartDate,0,COLUMN()),"YYYYMMDD"),"END_DATE_OVERRIDE",TEXT(INDEX(MO_Common_QEndDate,0,COLUMN()),"YYYYMMDD")),"N/A")</f>
        <v>N/A</v>
      </c>
      <c r="V1119" s="319" t="str">
        <f ca="1">IFERROR(BDP(MO.Ticker.Bloomberg&amp;" Equity","INTERVAL_AVG","MARKET_DATA_OVERRIDE=PX_LAST","START_DATE_OVERRIDE",TEXT(INDEX(MO_SNA_FPStartDate,0,COLUMN()),"YYYYMMDD"),"END_DATE_OVERRIDE",TEXT(INDEX(MO_Common_QEndDate,0,COLUMN()),"YYYYMMDD")),"N/A")</f>
        <v>N/A</v>
      </c>
      <c r="W1119" s="319" t="str">
        <f ca="1">IFERROR(BDP(MO.Ticker.Bloomberg&amp;" Equity","INTERVAL_AVG","MARKET_DATA_OVERRIDE=PX_LAST","START_DATE_OVERRIDE",TEXT(INDEX(MO_SNA_FPStartDate,0,COLUMN()),"YYYYMMDD"),"END_DATE_OVERRIDE",TEXT(INDEX(MO_Common_QEndDate,0,COLUMN()),"YYYYMMDD")),"N/A")</f>
        <v>N/A</v>
      </c>
      <c r="X1119" s="319" t="str">
        <f ca="1">IFERROR(BDP(MO.Ticker.Bloomberg&amp;" Equity","INTERVAL_AVG","MARKET_DATA_OVERRIDE=PX_LAST","START_DATE_OVERRIDE",TEXT(INDEX(MO_SNA_FPStartDate,0,COLUMN()),"YYYYMMDD"),"END_DATE_OVERRIDE",TEXT(INDEX(MO_Common_QEndDate,0,COLUMN()),"YYYYMMDD")),"N/A")</f>
        <v>N/A</v>
      </c>
      <c r="Y1119" s="319" t="str">
        <f ca="1">IFERROR(BDP(MO.Ticker.Bloomberg&amp;" Equity","INTERVAL_AVG","MARKET_DATA_OVERRIDE=PX_LAST","START_DATE_OVERRIDE",TEXT(INDEX(MO_SNA_FPStartDate,0,COLUMN()),"YYYYMMDD"),"END_DATE_OVERRIDE",TEXT(INDEX(MO_Common_QEndDate,0,COLUMN()),"YYYYMMDD")),"N/A")</f>
        <v>N/A</v>
      </c>
      <c r="Z1119" s="319" t="str">
        <f ca="1">IFERROR(BDP(MO.Ticker.Bloomberg&amp;" Equity","INTERVAL_AVG","MARKET_DATA_OVERRIDE=PX_LAST","START_DATE_OVERRIDE",TEXT(INDEX(MO_SNA_FPStartDate,0,COLUMN()),"YYYYMMDD"),"END_DATE_OVERRIDE",TEXT(INDEX(MO_Common_QEndDate,0,COLUMN()),"YYYYMMDD")),"N/A")</f>
        <v>N/A</v>
      </c>
      <c r="AA1119" s="319" t="str">
        <f ca="1">IFERROR(BDP(MO.Ticker.Bloomberg&amp;" Equity","INTERVAL_AVG","MARKET_DATA_OVERRIDE=PX_LAST","START_DATE_OVERRIDE",TEXT(INDEX(MO_SNA_FPStartDate,0,COLUMN()),"YYYYMMDD"),"END_DATE_OVERRIDE",TEXT(INDEX(MO_Common_QEndDate,0,COLUMN()),"YYYYMMDD")),"N/A")</f>
        <v>N/A</v>
      </c>
      <c r="AB1119" s="319" t="str">
        <f ca="1">IFERROR(BDP(MO.Ticker.Bloomberg&amp;" Equity","INTERVAL_AVG","MARKET_DATA_OVERRIDE=PX_LAST","START_DATE_OVERRIDE",TEXT(INDEX(MO_SNA_FPStartDate,0,COLUMN()),"YYYYMMDD"),"END_DATE_OVERRIDE",TEXT(INDEX(MO_Common_QEndDate,0,COLUMN()),"YYYYMMDD")),"N/A")</f>
        <v>N/A</v>
      </c>
      <c r="AC1119" s="319" t="str">
        <f ca="1">IFERROR(BDP(MO.Ticker.Bloomberg&amp;" Equity","INTERVAL_AVG","MARKET_DATA_OVERRIDE=PX_LAST","START_DATE_OVERRIDE",TEXT(INDEX(MO_SNA_FPStartDate,0,COLUMN()),"YYYYMMDD"),"END_DATE_OVERRIDE",TEXT(INDEX(MO_Common_QEndDate,0,COLUMN()),"YYYYMMDD")),"N/A")</f>
        <v>N/A</v>
      </c>
      <c r="AD1119" s="319" t="str">
        <f ca="1">IFERROR(BDP(MO.Ticker.Bloomberg&amp;" Equity","INTERVAL_AVG","MARKET_DATA_OVERRIDE=PX_LAST","START_DATE_OVERRIDE",TEXT(INDEX(MO_SNA_FPStartDate,0,COLUMN()),"YYYYMMDD"),"END_DATE_OVERRIDE",TEXT(INDEX(MO_Common_QEndDate,0,COLUMN()),"YYYYMMDD")),"N/A")</f>
        <v>N/A</v>
      </c>
      <c r="AE1119" s="319" t="str">
        <f ca="1">IFERROR(BDP(MO.Ticker.Bloomberg&amp;" Equity","INTERVAL_AVG","MARKET_DATA_OVERRIDE=PX_LAST","START_DATE_OVERRIDE",TEXT(INDEX(MO_SNA_FPStartDate,0,COLUMN()),"YYYYMMDD"),"END_DATE_OVERRIDE",TEXT(INDEX(MO_Common_QEndDate,0,COLUMN()),"YYYYMMDD")),"N/A")</f>
        <v>N/A</v>
      </c>
      <c r="AF1119" s="319" t="str">
        <f ca="1">IFERROR(BDP(MO.Ticker.Bloomberg&amp;" Equity","INTERVAL_AVG","MARKET_DATA_OVERRIDE=PX_LAST","START_DATE_OVERRIDE",TEXT(INDEX(MO_SNA_FPStartDate,0,COLUMN()),"YYYYMMDD"),"END_DATE_OVERRIDE",TEXT(INDEX(MO_Common_QEndDate,0,COLUMN()),"YYYYMMDD")),"N/A")</f>
        <v>N/A</v>
      </c>
      <c r="AG1119" s="319" t="str">
        <f ca="1">IFERROR(BDP(MO.Ticker.Bloomberg&amp;" Equity","INTERVAL_AVG","MARKET_DATA_OVERRIDE=PX_LAST","START_DATE_OVERRIDE",TEXT(INDEX(MO_SNA_FPStartDate,0,COLUMN()),"YYYYMMDD"),"END_DATE_OVERRIDE",TEXT(INDEX(MO_Common_QEndDate,0,COLUMN()),"YYYYMMDD")),"N/A")</f>
        <v>N/A</v>
      </c>
      <c r="AH1119" s="319" t="str">
        <f ca="1">IFERROR(BDP(MO.Ticker.Bloomberg&amp;" Equity","INTERVAL_AVG","MARKET_DATA_OVERRIDE=PX_LAST","START_DATE_OVERRIDE",TEXT(INDEX(MO_SNA_FPStartDate,0,COLUMN()),"YYYYMMDD"),"END_DATE_OVERRIDE",TEXT(INDEX(MO_Common_QEndDate,0,COLUMN()),"YYYYMMDD")),"N/A")</f>
        <v>N/A</v>
      </c>
      <c r="AI1119" s="319" t="str">
        <f ca="1">IFERROR(BDP(MO.Ticker.Bloomberg&amp;" Equity","INTERVAL_AVG","MARKET_DATA_OVERRIDE=PX_LAST","START_DATE_OVERRIDE",TEXT(INDEX(MO_SNA_FPStartDate,0,COLUMN()),"YYYYMMDD"),"END_DATE_OVERRIDE",TEXT(INDEX(MO_Common_QEndDate,0,COLUMN()),"YYYYMMDD")),"N/A")</f>
        <v>N/A</v>
      </c>
      <c r="AJ1119" s="319" t="str">
        <f ca="1">IFERROR(BDP(MO.Ticker.Bloomberg&amp;" Equity","INTERVAL_AVG","MARKET_DATA_OVERRIDE=PX_LAST","START_DATE_OVERRIDE",TEXT(INDEX(MO_SNA_FPStartDate,0,COLUMN()),"YYYYMMDD"),"END_DATE_OVERRIDE",TEXT(INDEX(MO_Common_QEndDate,0,COLUMN()),"YYYYMMDD")),"N/A")</f>
        <v>N/A</v>
      </c>
      <c r="AK1119" s="319" t="str">
        <f ca="1">IFERROR(BDP(MO.Ticker.Bloomberg&amp;" Equity","INTERVAL_AVG","MARKET_DATA_OVERRIDE=PX_LAST","START_DATE_OVERRIDE",TEXT(INDEX(MO_SNA_FPStartDate,0,COLUMN()),"YYYYMMDD"),"END_DATE_OVERRIDE",TEXT(INDEX(MO_Common_QEndDate,0,COLUMN()),"YYYYMMDD")),"N/A")</f>
        <v>N/A</v>
      </c>
      <c r="AL1119" s="319" t="str">
        <f ca="1">IFERROR(BDP(MO.Ticker.Bloomberg&amp;" Equity","INTERVAL_AVG","MARKET_DATA_OVERRIDE=PX_LAST","START_DATE_OVERRIDE",TEXT(INDEX(MO_SNA_FPStartDate,0,COLUMN()),"YYYYMMDD"),"END_DATE_OVERRIDE",TEXT(INDEX(MO_Common_QEndDate,0,COLUMN()),"YYYYMMDD")),"N/A")</f>
        <v>N/A</v>
      </c>
      <c r="AM1119" s="319" t="str">
        <f ca="1">IFERROR(BDP(MO.Ticker.Bloomberg&amp;" Equity","INTERVAL_AVG","MARKET_DATA_OVERRIDE=PX_LAST","START_DATE_OVERRIDE",TEXT(INDEX(MO_SNA_FPStartDate,0,COLUMN()),"YYYYMMDD"),"END_DATE_OVERRIDE",TEXT(INDEX(MO_Common_QEndDate,0,COLUMN()),"YYYYMMDD")),"N/A")</f>
        <v>N/A</v>
      </c>
      <c r="AN1119" s="319" t="str">
        <f ca="1">IFERROR(BDP(MO.Ticker.Bloomberg&amp;" Equity","INTERVAL_AVG","MARKET_DATA_OVERRIDE=PX_LAST","START_DATE_OVERRIDE",TEXT(INDEX(MO_SNA_FPStartDate,0,COLUMN()),"YYYYMMDD"),"END_DATE_OVERRIDE",TEXT(INDEX(MO_Common_QEndDate,0,COLUMN()),"YYYYMMDD")),"N/A")</f>
        <v>N/A</v>
      </c>
      <c r="AO1119" s="319" t="str">
        <f ca="1">IFERROR(BDP(MO.Ticker.Bloomberg&amp;" Equity","INTERVAL_AVG","MARKET_DATA_OVERRIDE=PX_LAST","START_DATE_OVERRIDE",TEXT(INDEX(MO_SNA_FPStartDate,0,COLUMN()),"YYYYMMDD"),"END_DATE_OVERRIDE",TEXT(INDEX(MO_Common_QEndDate,0,COLUMN()),"YYYYMMDD")),"N/A")</f>
        <v>N/A</v>
      </c>
      <c r="AP1119" s="319" t="str">
        <f ca="1">IFERROR(BDP(MO.Ticker.Bloomberg&amp;" Equity","INTERVAL_AVG","MARKET_DATA_OVERRIDE=PX_LAST","START_DATE_OVERRIDE",TEXT(INDEX(MO_SNA_FPStartDate,0,COLUMN()),"YYYYMMDD"),"END_DATE_OVERRIDE",TEXT(INDEX(MO_Common_QEndDate,0,COLUMN()),"YYYYMMDD")),"N/A")</f>
        <v>N/A</v>
      </c>
      <c r="AQ1119" s="319" t="str">
        <f ca="1">IFERROR(BDP(MO.Ticker.Bloomberg&amp;" Equity","INTERVAL_AVG","MARKET_DATA_OVERRIDE=PX_LAST","START_DATE_OVERRIDE",TEXT(INDEX(MO_SNA_FPStartDate,0,COLUMN()),"YYYYMMDD"),"END_DATE_OVERRIDE",TEXT(INDEX(MO_Common_QEndDate,0,COLUMN()),"YYYYMMDD")),"N/A")</f>
        <v>N/A</v>
      </c>
      <c r="AR1119" s="319" t="str">
        <f ca="1">IFERROR(BDP(MO.Ticker.Bloomberg&amp;" Equity","INTERVAL_AVG","MARKET_DATA_OVERRIDE=PX_LAST","START_DATE_OVERRIDE",TEXT(INDEX(MO_SNA_FPStartDate,0,COLUMN()),"YYYYMMDD"),"END_DATE_OVERRIDE",TEXT(INDEX(MO_Common_QEndDate,0,COLUMN()),"YYYYMMDD")),"N/A")</f>
        <v>N/A</v>
      </c>
      <c r="AS1119" s="319" t="str">
        <f ca="1">IFERROR(BDP(MO.Ticker.Bloomberg&amp;" Equity","INTERVAL_AVG","MARKET_DATA_OVERRIDE=PX_LAST","START_DATE_OVERRIDE",TEXT(INDEX(MO_SNA_FPStartDate,0,COLUMN()),"YYYYMMDD"),"END_DATE_OVERRIDE",TEXT(INDEX(MO_Common_QEndDate,0,COLUMN()),"YYYYMMDD")),"N/A")</f>
        <v>N/A</v>
      </c>
      <c r="AT1119" s="319" t="str">
        <f ca="1">IFERROR(BDP(MO.Ticker.Bloomberg&amp;" Equity","INTERVAL_AVG","MARKET_DATA_OVERRIDE=PX_LAST","START_DATE_OVERRIDE",TEXT(INDEX(MO_SNA_FPStartDate,0,COLUMN()),"YYYYMMDD"),"END_DATE_OVERRIDE",TEXT(INDEX(MO_Common_QEndDate,0,COLUMN()),"YYYYMMDD")),"N/A")</f>
        <v>N/A</v>
      </c>
      <c r="AU1119" s="319" t="str">
        <f ca="1">IFERROR(BDP(MO.Ticker.Bloomberg&amp;" Equity","INTERVAL_AVG","MARKET_DATA_OVERRIDE=PX_LAST","START_DATE_OVERRIDE",TEXT(INDEX(MO_SNA_FPStartDate,0,COLUMN()),"YYYYMMDD"),"END_DATE_OVERRIDE",TEXT(INDEX(MO_Common_QEndDate,0,COLUMN()),"YYYYMMDD")),"N/A")</f>
        <v>N/A</v>
      </c>
      <c r="AV1119" s="319" t="str">
        <f ca="1">IFERROR(BDP(MO.Ticker.Bloomberg&amp;" Equity","INTERVAL_AVG","MARKET_DATA_OVERRIDE=PX_LAST","START_DATE_OVERRIDE",TEXT(INDEX(MO_SNA_FPStartDate,0,COLUMN()),"YYYYMMDD"),"END_DATE_OVERRIDE",TEXT(INDEX(MO_Common_QEndDate,0,COLUMN()),"YYYYMMDD")),"N/A")</f>
        <v>N/A</v>
      </c>
      <c r="AW1119" s="319" t="str">
        <f ca="1">IFERROR(BDP(MO.Ticker.Bloomberg&amp;" Equity","INTERVAL_AVG","MARKET_DATA_OVERRIDE=PX_LAST","START_DATE_OVERRIDE",TEXT(INDEX(MO_SNA_FPStartDate,0,COLUMN()),"YYYYMMDD"),"END_DATE_OVERRIDE",TEXT(INDEX(MO_Common_QEndDate,0,COLUMN()),"YYYYMMDD")),"N/A")</f>
        <v>N/A</v>
      </c>
      <c r="AX1119" s="319" t="str">
        <f ca="1">IFERROR(BDP(MO.Ticker.Bloomberg&amp;" Equity","INTERVAL_AVG","MARKET_DATA_OVERRIDE=PX_LAST","START_DATE_OVERRIDE",TEXT(INDEX(MO_SNA_FPStartDate,0,COLUMN()),"YYYYMMDD"),"END_DATE_OVERRIDE",TEXT(INDEX(MO_Common_QEndDate,0,COLUMN()),"YYYYMMDD")),"N/A")</f>
        <v>N/A</v>
      </c>
      <c r="AY1119" s="319" t="str">
        <f ca="1">IFERROR(BDP(MO.Ticker.Bloomberg&amp;" Equity","INTERVAL_AVG","MARKET_DATA_OVERRIDE=PX_LAST","START_DATE_OVERRIDE",TEXT(INDEX(MO_SNA_FPStartDate,0,COLUMN()),"YYYYMMDD"),"END_DATE_OVERRIDE",TEXT(INDEX(MO_Common_QEndDate,0,COLUMN()),"YYYYMMDD")),"N/A")</f>
        <v>N/A</v>
      </c>
      <c r="AZ1119" s="319" t="str">
        <f ca="1">IFERROR(BDP(MO.Ticker.Bloomberg&amp;" Equity","INTERVAL_AVG","MARKET_DATA_OVERRIDE=PX_LAST","START_DATE_OVERRIDE",TEXT(INDEX(MO_SNA_FPStartDate,0,COLUMN()),"YYYYMMDD"),"END_DATE_OVERRIDE",TEXT(INDEX(MO_Common_QEndDate,0,COLUMN()),"YYYYMMDD")),"N/A")</f>
        <v>N/A</v>
      </c>
      <c r="BA1119" s="319" t="str">
        <f ca="1">IFERROR(BDP(MO.Ticker.Bloomberg&amp;" Equity","INTERVAL_AVG","MARKET_DATA_OVERRIDE=PX_LAST","START_DATE_OVERRIDE",TEXT(INDEX(MO_SNA_FPStartDate,0,COLUMN()),"YYYYMMDD"),"END_DATE_OVERRIDE",TEXT(INDEX(MO_Common_QEndDate,0,COLUMN()),"YYYYMMDD")),"N/A")</f>
        <v>N/A</v>
      </c>
      <c r="BB1119" s="319" t="str">
        <f ca="1">IFERROR(BDP(MO.Ticker.Bloomberg&amp;" Equity","INTERVAL_AVG","MARKET_DATA_OVERRIDE=PX_LAST","START_DATE_OVERRIDE",TEXT(INDEX(MO_SNA_FPStartDate,0,COLUMN()),"YYYYMMDD"),"END_DATE_OVERRIDE",TEXT(INDEX(MO_Common_QEndDate,0,COLUMN()),"YYYYMMDD")),"N/A")</f>
        <v>N/A</v>
      </c>
      <c r="BC1119" s="319" t="str">
        <f ca="1">IFERROR(BDP(MO.Ticker.Bloomberg&amp;" Equity","INTERVAL_AVG","MARKET_DATA_OVERRIDE=PX_LAST","START_DATE_OVERRIDE",TEXT(INDEX(MO_SNA_FPStartDate,0,COLUMN()),"YYYYMMDD"),"END_DATE_OVERRIDE",TEXT(INDEX(MO_Common_QEndDate,0,COLUMN()),"YYYYMMDD")),"N/A")</f>
        <v>N/A</v>
      </c>
      <c r="BD1119" s="319" t="str">
        <f ca="1">IFERROR(BDP(MO.Ticker.Bloomberg&amp;" Equity","INTERVAL_AVG","MARKET_DATA_OVERRIDE=PX_LAST","START_DATE_OVERRIDE",TEXT(INDEX(MO_SNA_FPStartDate,0,COLUMN()),"YYYYMMDD"),"END_DATE_OVERRIDE",TEXT(INDEX(MO_Common_QEndDate,0,COLUMN()),"YYYYMMDD")),"N/A")</f>
        <v>N/A</v>
      </c>
      <c r="BE1119" s="319" t="str">
        <f ca="1">IFERROR(BDP(MO.Ticker.Bloomberg&amp;" Equity","INTERVAL_AVG","MARKET_DATA_OVERRIDE=PX_LAST","START_DATE_OVERRIDE",TEXT(INDEX(MO_SNA_FPStartDate,0,COLUMN()),"YYYYMMDD"),"END_DATE_OVERRIDE",TEXT(INDEX(MO_Common_QEndDate,0,COLUMN()),"YYYYMMDD")),"N/A")</f>
        <v>N/A</v>
      </c>
      <c r="BF1119" s="319" t="str">
        <f ca="1">IFERROR(BDP(MO.Ticker.Bloomberg&amp;" Equity","INTERVAL_AVG","MARKET_DATA_OVERRIDE=PX_LAST","START_DATE_OVERRIDE",TEXT(INDEX(MO_SNA_FPStartDate,0,COLUMN()),"YYYYMMDD"),"END_DATE_OVERRIDE",TEXT(INDEX(MO_Common_QEndDate,0,COLUMN()),"YYYYMMDD")),"N/A")</f>
        <v>N/A</v>
      </c>
      <c r="BG1119" s="319" t="str">
        <f ca="1">IFERROR(BDP(MO.Ticker.Bloomberg&amp;" Equity","INTERVAL_AVG","MARKET_DATA_OVERRIDE=PX_LAST","START_DATE_OVERRIDE",TEXT(INDEX(MO_SNA_FPStartDate,0,COLUMN()),"YYYYMMDD"),"END_DATE_OVERRIDE",TEXT(INDEX(MO_Common_QEndDate,0,COLUMN()),"YYYYMMDD")),"N/A")</f>
        <v>N/A</v>
      </c>
      <c r="BH1119" s="454" t="str">
        <f ca="1">IFERROR(BDP(MO.Ticker.Bloomberg&amp;" Equity","INTERVAL_AVG","MARKET_DATA_OVERRIDE=PX_LAST","START_DATE_OVERRIDE",TEXT(INDEX(MO_SNA_FPStartDate,0,COLUMN()),"YYYYMMDD"),"END_DATE_OVERRIDE",TEXT(INDEX(MO_Common_QEndDate,0,COLUMN()),"YYYYMMDD")),"N/A")</f>
        <v>N/A</v>
      </c>
      <c r="BI1119" s="319" t="str">
        <f ca="1">IFERROR(BDP(MO.Ticker.Bloomberg&amp;" Equity","INTERVAL_AVG","MARKET_DATA_OVERRIDE=PX_LAST","START_DATE_OVERRIDE",TEXT(INDEX(MO_SNA_FPStartDate,0,COLUMN()),"YYYYMMDD"),"END_DATE_OVERRIDE",TEXT(INDEX(MO_Common_QEndDate,0,COLUMN()),"YYYYMMDD")),"N/A")</f>
        <v>N/A</v>
      </c>
      <c r="BJ1119" s="319" t="str">
        <f ca="1">IFERROR(BDP(MO.Ticker.Bloomberg&amp;" Equity","INTERVAL_AVG","MARKET_DATA_OVERRIDE=PX_LAST","START_DATE_OVERRIDE",TEXT(INDEX(MO_SNA_FPStartDate,0,COLUMN()),"YYYYMMDD"),"END_DATE_OVERRIDE",TEXT(INDEX(MO_Common_QEndDate,0,COLUMN()),"YYYYMMDD")),"N/A")</f>
        <v>N/A</v>
      </c>
      <c r="BK1119" s="319" t="str">
        <f ca="1">IFERROR(BDP(MO.Ticker.Bloomberg&amp;" Equity","INTERVAL_AVG","MARKET_DATA_OVERRIDE=PX_LAST","START_DATE_OVERRIDE",TEXT(INDEX(MO_SNA_FPStartDate,0,COLUMN()),"YYYYMMDD"),"END_DATE_OVERRIDE",TEXT(INDEX(MO_Common_QEndDate,0,COLUMN()),"YYYYMMDD")),"N/A")</f>
        <v>N/A</v>
      </c>
      <c r="BL1119" s="319" t="str">
        <f ca="1">IFERROR(BDP(MO.Ticker.Bloomberg&amp;" Equity","INTERVAL_AVG","MARKET_DATA_OVERRIDE=PX_LAST","START_DATE_OVERRIDE",TEXT(INDEX(MO_SNA_FPStartDate,0,COLUMN()),"YYYYMMDD"),"END_DATE_OVERRIDE",TEXT(INDEX(MO_Common_QEndDate,0,COLUMN()),"YYYYMMDD")),"N/A")</f>
        <v>N/A</v>
      </c>
      <c r="BM1119" s="319" t="str">
        <f ca="1">IFERROR(BDP(MO.Ticker.Bloomberg&amp;" Equity","INTERVAL_AVG","MARKET_DATA_OVERRIDE=PX_LAST","START_DATE_OVERRIDE",TEXT(INDEX(MO_SNA_FPStartDate,0,COLUMN()),"YYYYMMDD"),"END_DATE_OVERRIDE",TEXT(INDEX(MO_Common_QEndDate,0,COLUMN()),"YYYYMMDD")),"N/A")</f>
        <v>N/A</v>
      </c>
      <c r="BN1119" s="319" t="str">
        <f ca="1">IFERROR(BDP(MO.Ticker.Bloomberg&amp;" Equity","INTERVAL_AVG","MARKET_DATA_OVERRIDE=PX_LAST","START_DATE_OVERRIDE",TEXT(INDEX(MO_SNA_FPStartDate,0,COLUMN()),"YYYYMMDD"),"END_DATE_OVERRIDE",TEXT(INDEX(MO_Common_QEndDate,0,COLUMN()),"YYYYMMDD")),"N/A")</f>
        <v>N/A</v>
      </c>
      <c r="BO1119" s="319" t="str">
        <f ca="1">IFERROR(BDP(MO.Ticker.Bloomberg&amp;" Equity","INTERVAL_AVG","MARKET_DATA_OVERRIDE=PX_LAST","START_DATE_OVERRIDE",TEXT(INDEX(MO_SNA_FPStartDate,0,COLUMN()),"YYYYMMDD"),"END_DATE_OVERRIDE",TEXT(INDEX(MO_Common_QEndDate,0,COLUMN()),"YYYYMMDD")),"N/A")</f>
        <v>N/A</v>
      </c>
      <c r="BP1119" s="319" t="str">
        <f ca="1">IFERROR(BDP(MO.Ticker.Bloomberg&amp;" Equity","INTERVAL_AVG","MARKET_DATA_OVERRIDE=PX_LAST","START_DATE_OVERRIDE",TEXT(INDEX(MO_SNA_FPStartDate,0,COLUMN()),"YYYYMMDD"),"END_DATE_OVERRIDE",TEXT(INDEX(MO_Common_QEndDate,0,COLUMN()),"YYYYMMDD")),"N/A")</f>
        <v>N/A</v>
      </c>
      <c r="BQ1119" s="319" t="str">
        <f ca="1">IFERROR(BDP(MO.Ticker.Bloomberg&amp;" Equity","INTERVAL_AVG","MARKET_DATA_OVERRIDE=PX_LAST","START_DATE_OVERRIDE",TEXT(INDEX(MO_SNA_FPStartDate,0,COLUMN()),"YYYYMMDD"),"END_DATE_OVERRIDE",TEXT(INDEX(MO_Common_QEndDate,0,COLUMN()),"YYYYMMDD")),"N/A")</f>
        <v>N/A</v>
      </c>
      <c r="BR1119" s="321" t="str">
        <f ca="1">IFERROR(BDP(MO.Ticker.Bloomberg&amp;" Equity","INTERVAL_AVG","MARKET_DATA_OVERRIDE=PX_LAST","START_DATE_OVERRIDE",TEXT(INDEX(MO_SNA_FPStartDate,0,COLUMN()),"YYYYMMDD"),"END_DATE_OVERRIDE",TEXT(INDEX(MO_Common_QEndDate,0,COLUMN()),"YYYYMMDD")),"N/A")</f>
        <v>N/A</v>
      </c>
      <c r="BS1119" s="355"/>
    </row>
    <row r="1120" spans="1:71" s="322" customFormat="1" ht="15" hidden="1" outlineLevel="1">
      <c r="A1120" s="323" t="s">
        <v>243</v>
      </c>
      <c r="B1120" s="319"/>
      <c r="C1120" s="320" t="str">
        <f ca="1">IFERROR(CIQAVG(MO.Ticker.CapIQ,"IQ_LASTSALEPRICE",INDEX(MO_SNA_FPStartDate,0,COLUMN()),INDEX(MO_Common_QEndDate,0,COLUMN())),"N/A")</f>
        <v>N/A</v>
      </c>
      <c r="D1120" s="320" t="str">
        <f ca="1">IFERROR(CIQAVG(MO.Ticker.CapIQ,"IQ_LASTSALEPRICE",INDEX(MO_SNA_FPStartDate,0,COLUMN()),INDEX(MO_Common_QEndDate,0,COLUMN())),"N/A")</f>
        <v>N/A</v>
      </c>
      <c r="E1120" s="319" t="str">
        <f ca="1">IFERROR(CIQAVG(MO.Ticker.CapIQ,"IQ_LASTSALEPRICE",INDEX(MO_SNA_FPStartDate,0,COLUMN()),INDEX(MO_Common_QEndDate,0,COLUMN())),"N/A")</f>
        <v>N/A</v>
      </c>
      <c r="F1120" s="319" t="str">
        <f ca="1">IFERROR(CIQAVG(MO.Ticker.CapIQ,"IQ_LASTSALEPRICE",INDEX(MO_SNA_FPStartDate,0,COLUMN()),INDEX(MO_Common_QEndDate,0,COLUMN())),"N/A")</f>
        <v>N/A</v>
      </c>
      <c r="G1120" s="319" t="str">
        <f ca="1">IFERROR(CIQAVG(MO.Ticker.CapIQ,"IQ_LASTSALEPRICE",INDEX(MO_SNA_FPStartDate,0,COLUMN()),INDEX(MO_Common_QEndDate,0,COLUMN())),"N/A")</f>
        <v>N/A</v>
      </c>
      <c r="H1120" s="319" t="str">
        <f ca="1">IFERROR(CIQAVG(MO.Ticker.CapIQ,"IQ_LASTSALEPRICE",INDEX(MO_SNA_FPStartDate,0,COLUMN()),INDEX(MO_Common_QEndDate,0,COLUMN())),"N/A")</f>
        <v>N/A</v>
      </c>
      <c r="I1120" s="319" t="str">
        <f ca="1">IFERROR(CIQAVG(MO.Ticker.CapIQ,"IQ_LASTSALEPRICE",INDEX(MO_SNA_FPStartDate,0,COLUMN()),INDEX(MO_Common_QEndDate,0,COLUMN())),"N/A")</f>
        <v>N/A</v>
      </c>
      <c r="J1120" s="319" t="str">
        <f ca="1">IFERROR(CIQAVG(MO.Ticker.CapIQ,"IQ_LASTSALEPRICE",INDEX(MO_SNA_FPStartDate,0,COLUMN()),INDEX(MO_Common_QEndDate,0,COLUMN())),"N/A")</f>
        <v>N/A</v>
      </c>
      <c r="K1120" s="319" t="str">
        <f ca="1">IFERROR(CIQAVG(MO.Ticker.CapIQ,"IQ_LASTSALEPRICE",INDEX(MO_SNA_FPStartDate,0,COLUMN()),INDEX(MO_Common_QEndDate,0,COLUMN())),"N/A")</f>
        <v>N/A</v>
      </c>
      <c r="L1120" s="319" t="str">
        <f ca="1">IFERROR(CIQAVG(MO.Ticker.CapIQ,"IQ_LASTSALEPRICE",INDEX(MO_SNA_FPStartDate,0,COLUMN()),INDEX(MO_Common_QEndDate,0,COLUMN())),"N/A")</f>
        <v>N/A</v>
      </c>
      <c r="M1120" s="319" t="str">
        <f ca="1">IFERROR(CIQAVG(MO.Ticker.CapIQ,"IQ_LASTSALEPRICE",INDEX(MO_SNA_FPStartDate,0,COLUMN()),INDEX(MO_Common_QEndDate,0,COLUMN())),"N/A")</f>
        <v>N/A</v>
      </c>
      <c r="N1120" s="319" t="str">
        <f ca="1">IFERROR(CIQAVG(MO.Ticker.CapIQ,"IQ_LASTSALEPRICE",INDEX(MO_SNA_FPStartDate,0,COLUMN()),INDEX(MO_Common_QEndDate,0,COLUMN())),"N/A")</f>
        <v>N/A</v>
      </c>
      <c r="O1120" s="319" t="str">
        <f ca="1">IFERROR(CIQAVG(MO.Ticker.CapIQ,"IQ_LASTSALEPRICE",INDEX(MO_SNA_FPStartDate,0,COLUMN()),INDEX(MO_Common_QEndDate,0,COLUMN())),"N/A")</f>
        <v>N/A</v>
      </c>
      <c r="P1120" s="319" t="str">
        <f ca="1">IFERROR(CIQAVG(MO.Ticker.CapIQ,"IQ_LASTSALEPRICE",INDEX(MO_SNA_FPStartDate,0,COLUMN()),INDEX(MO_Common_QEndDate,0,COLUMN())),"N/A")</f>
        <v>N/A</v>
      </c>
      <c r="Q1120" s="319" t="str">
        <f ca="1">IFERROR(CIQAVG(MO.Ticker.CapIQ,"IQ_LASTSALEPRICE",INDEX(MO_SNA_FPStartDate,0,COLUMN()),INDEX(MO_Common_QEndDate,0,COLUMN())),"N/A")</f>
        <v>N/A</v>
      </c>
      <c r="R1120" s="319" t="str">
        <f ca="1">IFERROR(CIQAVG(MO.Ticker.CapIQ,"IQ_LASTSALEPRICE",INDEX(MO_SNA_FPStartDate,0,COLUMN()),INDEX(MO_Common_QEndDate,0,COLUMN())),"N/A")</f>
        <v>N/A</v>
      </c>
      <c r="S1120" s="319" t="str">
        <f ca="1">IFERROR(CIQAVG(MO.Ticker.CapIQ,"IQ_LASTSALEPRICE",INDEX(MO_SNA_FPStartDate,0,COLUMN()),INDEX(MO_Common_QEndDate,0,COLUMN())),"N/A")</f>
        <v>N/A</v>
      </c>
      <c r="T1120" s="319" t="str">
        <f ca="1">IFERROR(CIQAVG(MO.Ticker.CapIQ,"IQ_LASTSALEPRICE",INDEX(MO_SNA_FPStartDate,0,COLUMN()),INDEX(MO_Common_QEndDate,0,COLUMN())),"N/A")</f>
        <v>N/A</v>
      </c>
      <c r="U1120" s="319" t="str">
        <f ca="1">IFERROR(CIQAVG(MO.Ticker.CapIQ,"IQ_LASTSALEPRICE",INDEX(MO_SNA_FPStartDate,0,COLUMN()),INDEX(MO_Common_QEndDate,0,COLUMN())),"N/A")</f>
        <v>N/A</v>
      </c>
      <c r="V1120" s="319" t="str">
        <f ca="1">IFERROR(CIQAVG(MO.Ticker.CapIQ,"IQ_LASTSALEPRICE",INDEX(MO_SNA_FPStartDate,0,COLUMN()),INDEX(MO_Common_QEndDate,0,COLUMN())),"N/A")</f>
        <v>N/A</v>
      </c>
      <c r="W1120" s="319" t="str">
        <f ca="1">IFERROR(CIQAVG(MO.Ticker.CapIQ,"IQ_LASTSALEPRICE",INDEX(MO_SNA_FPStartDate,0,COLUMN()),INDEX(MO_Common_QEndDate,0,COLUMN())),"N/A")</f>
        <v>N/A</v>
      </c>
      <c r="X1120" s="319" t="str">
        <f ca="1">IFERROR(CIQAVG(MO.Ticker.CapIQ,"IQ_LASTSALEPRICE",INDEX(MO_SNA_FPStartDate,0,COLUMN()),INDEX(MO_Common_QEndDate,0,COLUMN())),"N/A")</f>
        <v>N/A</v>
      </c>
      <c r="Y1120" s="319" t="str">
        <f ca="1">IFERROR(CIQAVG(MO.Ticker.CapIQ,"IQ_LASTSALEPRICE",INDEX(MO_SNA_FPStartDate,0,COLUMN()),INDEX(MO_Common_QEndDate,0,COLUMN())),"N/A")</f>
        <v>N/A</v>
      </c>
      <c r="Z1120" s="319" t="str">
        <f ca="1">IFERROR(CIQAVG(MO.Ticker.CapIQ,"IQ_LASTSALEPRICE",INDEX(MO_SNA_FPStartDate,0,COLUMN()),INDEX(MO_Common_QEndDate,0,COLUMN())),"N/A")</f>
        <v>N/A</v>
      </c>
      <c r="AA1120" s="319" t="str">
        <f ca="1">IFERROR(CIQAVG(MO.Ticker.CapIQ,"IQ_LASTSALEPRICE",INDEX(MO_SNA_FPStartDate,0,COLUMN()),INDEX(MO_Common_QEndDate,0,COLUMN())),"N/A")</f>
        <v>N/A</v>
      </c>
      <c r="AB1120" s="319" t="str">
        <f ca="1">IFERROR(CIQAVG(MO.Ticker.CapIQ,"IQ_LASTSALEPRICE",INDEX(MO_SNA_FPStartDate,0,COLUMN()),INDEX(MO_Common_QEndDate,0,COLUMN())),"N/A")</f>
        <v>N/A</v>
      </c>
      <c r="AC1120" s="319" t="str">
        <f ca="1">IFERROR(CIQAVG(MO.Ticker.CapIQ,"IQ_LASTSALEPRICE",INDEX(MO_SNA_FPStartDate,0,COLUMN()),INDEX(MO_Common_QEndDate,0,COLUMN())),"N/A")</f>
        <v>N/A</v>
      </c>
      <c r="AD1120" s="319" t="str">
        <f ca="1">IFERROR(CIQAVG(MO.Ticker.CapIQ,"IQ_LASTSALEPRICE",INDEX(MO_SNA_FPStartDate,0,COLUMN()),INDEX(MO_Common_QEndDate,0,COLUMN())),"N/A")</f>
        <v>N/A</v>
      </c>
      <c r="AE1120" s="319" t="str">
        <f ca="1">IFERROR(CIQAVG(MO.Ticker.CapIQ,"IQ_LASTSALEPRICE",INDEX(MO_SNA_FPStartDate,0,COLUMN()),INDEX(MO_Common_QEndDate,0,COLUMN())),"N/A")</f>
        <v>N/A</v>
      </c>
      <c r="AF1120" s="319" t="str">
        <f ca="1">IFERROR(CIQAVG(MO.Ticker.CapIQ,"IQ_LASTSALEPRICE",INDEX(MO_SNA_FPStartDate,0,COLUMN()),INDEX(MO_Common_QEndDate,0,COLUMN())),"N/A")</f>
        <v>N/A</v>
      </c>
      <c r="AG1120" s="319" t="str">
        <f ca="1">IFERROR(CIQAVG(MO.Ticker.CapIQ,"IQ_LASTSALEPRICE",INDEX(MO_SNA_FPStartDate,0,COLUMN()),INDEX(MO_Common_QEndDate,0,COLUMN())),"N/A")</f>
        <v>N/A</v>
      </c>
      <c r="AH1120" s="319" t="str">
        <f ca="1">IFERROR(CIQAVG(MO.Ticker.CapIQ,"IQ_LASTSALEPRICE",INDEX(MO_SNA_FPStartDate,0,COLUMN()),INDEX(MO_Common_QEndDate,0,COLUMN())),"N/A")</f>
        <v>N/A</v>
      </c>
      <c r="AI1120" s="319" t="str">
        <f ca="1">IFERROR(CIQAVG(MO.Ticker.CapIQ,"IQ_LASTSALEPRICE",INDEX(MO_SNA_FPStartDate,0,COLUMN()),INDEX(MO_Common_QEndDate,0,COLUMN())),"N/A")</f>
        <v>N/A</v>
      </c>
      <c r="AJ1120" s="319" t="str">
        <f ca="1">IFERROR(CIQAVG(MO.Ticker.CapIQ,"IQ_LASTSALEPRICE",INDEX(MO_SNA_FPStartDate,0,COLUMN()),INDEX(MO_Common_QEndDate,0,COLUMN())),"N/A")</f>
        <v>N/A</v>
      </c>
      <c r="AK1120" s="319" t="str">
        <f ca="1">IFERROR(CIQAVG(MO.Ticker.CapIQ,"IQ_LASTSALEPRICE",INDEX(MO_SNA_FPStartDate,0,COLUMN()),INDEX(MO_Common_QEndDate,0,COLUMN())),"N/A")</f>
        <v>N/A</v>
      </c>
      <c r="AL1120" s="319" t="str">
        <f ca="1">IFERROR(CIQAVG(MO.Ticker.CapIQ,"IQ_LASTSALEPRICE",INDEX(MO_SNA_FPStartDate,0,COLUMN()),INDEX(MO_Common_QEndDate,0,COLUMN())),"N/A")</f>
        <v>N/A</v>
      </c>
      <c r="AM1120" s="319" t="str">
        <f ca="1">IFERROR(CIQAVG(MO.Ticker.CapIQ,"IQ_LASTSALEPRICE",INDEX(MO_SNA_FPStartDate,0,COLUMN()),INDEX(MO_Common_QEndDate,0,COLUMN())),"N/A")</f>
        <v>N/A</v>
      </c>
      <c r="AN1120" s="319" t="str">
        <f ca="1">IFERROR(CIQAVG(MO.Ticker.CapIQ,"IQ_LASTSALEPRICE",INDEX(MO_SNA_FPStartDate,0,COLUMN()),INDEX(MO_Common_QEndDate,0,COLUMN())),"N/A")</f>
        <v>N/A</v>
      </c>
      <c r="AO1120" s="319" t="str">
        <f ca="1">IFERROR(CIQAVG(MO.Ticker.CapIQ,"IQ_LASTSALEPRICE",INDEX(MO_SNA_FPStartDate,0,COLUMN()),INDEX(MO_Common_QEndDate,0,COLUMN())),"N/A")</f>
        <v>N/A</v>
      </c>
      <c r="AP1120" s="319" t="str">
        <f ca="1">IFERROR(CIQAVG(MO.Ticker.CapIQ,"IQ_LASTSALEPRICE",INDEX(MO_SNA_FPStartDate,0,COLUMN()),INDEX(MO_Common_QEndDate,0,COLUMN())),"N/A")</f>
        <v>N/A</v>
      </c>
      <c r="AQ1120" s="319" t="str">
        <f ca="1">IFERROR(CIQAVG(MO.Ticker.CapIQ,"IQ_LASTSALEPRICE",INDEX(MO_SNA_FPStartDate,0,COLUMN()),INDEX(MO_Common_QEndDate,0,COLUMN())),"N/A")</f>
        <v>N/A</v>
      </c>
      <c r="AR1120" s="319" t="str">
        <f ca="1">IFERROR(CIQAVG(MO.Ticker.CapIQ,"IQ_LASTSALEPRICE",INDEX(MO_SNA_FPStartDate,0,COLUMN()),INDEX(MO_Common_QEndDate,0,COLUMN())),"N/A")</f>
        <v>N/A</v>
      </c>
      <c r="AS1120" s="319" t="str">
        <f ca="1">IFERROR(CIQAVG(MO.Ticker.CapIQ,"IQ_LASTSALEPRICE",INDEX(MO_SNA_FPStartDate,0,COLUMN()),INDEX(MO_Common_QEndDate,0,COLUMN())),"N/A")</f>
        <v>N/A</v>
      </c>
      <c r="AT1120" s="319" t="str">
        <f ca="1">IFERROR(CIQAVG(MO.Ticker.CapIQ,"IQ_LASTSALEPRICE",INDEX(MO_SNA_FPStartDate,0,COLUMN()),INDEX(MO_Common_QEndDate,0,COLUMN())),"N/A")</f>
        <v>N/A</v>
      </c>
      <c r="AU1120" s="319" t="str">
        <f ca="1">IFERROR(CIQAVG(MO.Ticker.CapIQ,"IQ_LASTSALEPRICE",INDEX(MO_SNA_FPStartDate,0,COLUMN()),INDEX(MO_Common_QEndDate,0,COLUMN())),"N/A")</f>
        <v>N/A</v>
      </c>
      <c r="AV1120" s="319" t="str">
        <f ca="1">IFERROR(CIQAVG(MO.Ticker.CapIQ,"IQ_LASTSALEPRICE",INDEX(MO_SNA_FPStartDate,0,COLUMN()),INDEX(MO_Common_QEndDate,0,COLUMN())),"N/A")</f>
        <v>N/A</v>
      </c>
      <c r="AW1120" s="319" t="str">
        <f ca="1">IFERROR(CIQAVG(MO.Ticker.CapIQ,"IQ_LASTSALEPRICE",INDEX(MO_SNA_FPStartDate,0,COLUMN()),INDEX(MO_Common_QEndDate,0,COLUMN())),"N/A")</f>
        <v>N/A</v>
      </c>
      <c r="AX1120" s="319" t="str">
        <f ca="1">IFERROR(CIQAVG(MO.Ticker.CapIQ,"IQ_LASTSALEPRICE",INDEX(MO_SNA_FPStartDate,0,COLUMN()),INDEX(MO_Common_QEndDate,0,COLUMN())),"N/A")</f>
        <v>N/A</v>
      </c>
      <c r="AY1120" s="319" t="str">
        <f ca="1">IFERROR(CIQAVG(MO.Ticker.CapIQ,"IQ_LASTSALEPRICE",INDEX(MO_SNA_FPStartDate,0,COLUMN()),INDEX(MO_Common_QEndDate,0,COLUMN())),"N/A")</f>
        <v>N/A</v>
      </c>
      <c r="AZ1120" s="319" t="str">
        <f ca="1">IFERROR(CIQAVG(MO.Ticker.CapIQ,"IQ_LASTSALEPRICE",INDEX(MO_SNA_FPStartDate,0,COLUMN()),INDEX(MO_Common_QEndDate,0,COLUMN())),"N/A")</f>
        <v>N/A</v>
      </c>
      <c r="BA1120" s="319" t="str">
        <f ca="1">IFERROR(CIQAVG(MO.Ticker.CapIQ,"IQ_LASTSALEPRICE",INDEX(MO_SNA_FPStartDate,0,COLUMN()),INDEX(MO_Common_QEndDate,0,COLUMN())),"N/A")</f>
        <v>N/A</v>
      </c>
      <c r="BB1120" s="319" t="str">
        <f ca="1">IFERROR(CIQAVG(MO.Ticker.CapIQ,"IQ_LASTSALEPRICE",INDEX(MO_SNA_FPStartDate,0,COLUMN()),INDEX(MO_Common_QEndDate,0,COLUMN())),"N/A")</f>
        <v>N/A</v>
      </c>
      <c r="BC1120" s="319" t="str">
        <f ca="1">IFERROR(CIQAVG(MO.Ticker.CapIQ,"IQ_LASTSALEPRICE",INDEX(MO_SNA_FPStartDate,0,COLUMN()),INDEX(MO_Common_QEndDate,0,COLUMN())),"N/A")</f>
        <v>N/A</v>
      </c>
      <c r="BD1120" s="319" t="str">
        <f ca="1">IFERROR(CIQAVG(MO.Ticker.CapIQ,"IQ_LASTSALEPRICE",INDEX(MO_SNA_FPStartDate,0,COLUMN()),INDEX(MO_Common_QEndDate,0,COLUMN())),"N/A")</f>
        <v>N/A</v>
      </c>
      <c r="BE1120" s="319" t="str">
        <f ca="1">IFERROR(CIQAVG(MO.Ticker.CapIQ,"IQ_LASTSALEPRICE",INDEX(MO_SNA_FPStartDate,0,COLUMN()),INDEX(MO_Common_QEndDate,0,COLUMN())),"N/A")</f>
        <v>N/A</v>
      </c>
      <c r="BF1120" s="319" t="str">
        <f ca="1">IFERROR(CIQAVG(MO.Ticker.CapIQ,"IQ_LASTSALEPRICE",INDEX(MO_SNA_FPStartDate,0,COLUMN()),INDEX(MO_Common_QEndDate,0,COLUMN())),"N/A")</f>
        <v>N/A</v>
      </c>
      <c r="BG1120" s="319" t="str">
        <f ca="1">IFERROR(CIQAVG(MO.Ticker.CapIQ,"IQ_LASTSALEPRICE",INDEX(MO_SNA_FPStartDate,0,COLUMN()),INDEX(MO_Common_QEndDate,0,COLUMN())),"N/A")</f>
        <v>N/A</v>
      </c>
      <c r="BH1120" s="454" t="str">
        <f ca="1">IFERROR(CIQAVG(MO.Ticker.CapIQ,"IQ_LASTSALEPRICE",INDEX(MO_SNA_FPStartDate,0,COLUMN()),INDEX(MO_Common_QEndDate,0,COLUMN())),"N/A")</f>
        <v>N/A</v>
      </c>
      <c r="BI1120" s="319" t="str">
        <f ca="1">IFERROR(CIQAVG(MO.Ticker.CapIQ,"IQ_LASTSALEPRICE",INDEX(MO_SNA_FPStartDate,0,COLUMN()),INDEX(MO_Common_QEndDate,0,COLUMN())),"N/A")</f>
        <v>N/A</v>
      </c>
      <c r="BJ1120" s="319" t="str">
        <f ca="1">IFERROR(CIQAVG(MO.Ticker.CapIQ,"IQ_LASTSALEPRICE",INDEX(MO_SNA_FPStartDate,0,COLUMN()),INDEX(MO_Common_QEndDate,0,COLUMN())),"N/A")</f>
        <v>N/A</v>
      </c>
      <c r="BK1120" s="319" t="str">
        <f ca="1">IFERROR(CIQAVG(MO.Ticker.CapIQ,"IQ_LASTSALEPRICE",INDEX(MO_SNA_FPStartDate,0,COLUMN()),INDEX(MO_Common_QEndDate,0,COLUMN())),"N/A")</f>
        <v>N/A</v>
      </c>
      <c r="BL1120" s="319" t="str">
        <f ca="1">IFERROR(CIQAVG(MO.Ticker.CapIQ,"IQ_LASTSALEPRICE",INDEX(MO_SNA_FPStartDate,0,COLUMN()),INDEX(MO_Common_QEndDate,0,COLUMN())),"N/A")</f>
        <v>N/A</v>
      </c>
      <c r="BM1120" s="319" t="str">
        <f ca="1">IFERROR(CIQAVG(MO.Ticker.CapIQ,"IQ_LASTSALEPRICE",INDEX(MO_SNA_FPStartDate,0,COLUMN()),INDEX(MO_Common_QEndDate,0,COLUMN())),"N/A")</f>
        <v>N/A</v>
      </c>
      <c r="BN1120" s="319" t="str">
        <f ca="1">IFERROR(CIQAVG(MO.Ticker.CapIQ,"IQ_LASTSALEPRICE",INDEX(MO_SNA_FPStartDate,0,COLUMN()),INDEX(MO_Common_QEndDate,0,COLUMN())),"N/A")</f>
        <v>N/A</v>
      </c>
      <c r="BO1120" s="319" t="str">
        <f ca="1">IFERROR(CIQAVG(MO.Ticker.CapIQ,"IQ_LASTSALEPRICE",INDEX(MO_SNA_FPStartDate,0,COLUMN()),INDEX(MO_Common_QEndDate,0,COLUMN())),"N/A")</f>
        <v>N/A</v>
      </c>
      <c r="BP1120" s="319" t="str">
        <f ca="1">IFERROR(CIQAVG(MO.Ticker.CapIQ,"IQ_LASTSALEPRICE",INDEX(MO_SNA_FPStartDate,0,COLUMN()),INDEX(MO_Common_QEndDate,0,COLUMN())),"N/A")</f>
        <v>N/A</v>
      </c>
      <c r="BQ1120" s="319" t="str">
        <f ca="1">IFERROR(CIQAVG(MO.Ticker.CapIQ,"IQ_LASTSALEPRICE",INDEX(MO_SNA_FPStartDate,0,COLUMN()),INDEX(MO_Common_QEndDate,0,COLUMN())),"N/A")</f>
        <v>N/A</v>
      </c>
      <c r="BR1120" s="321" t="str">
        <f ca="1">IFERROR(CIQAVG(MO.Ticker.CapIQ,"IQ_LASTSALEPRICE",INDEX(MO_SNA_FPStartDate,0,COLUMN()),INDEX(MO_Common_QEndDate,0,COLUMN())),"N/A")</f>
        <v>N/A</v>
      </c>
      <c r="BS1120" s="355"/>
    </row>
    <row r="1121" spans="1:71" s="322" customFormat="1" ht="15" hidden="1" outlineLevel="1">
      <c r="A1121" s="323" t="s">
        <v>244</v>
      </c>
      <c r="B1121" s="319"/>
      <c r="C1121" s="320" t="str">
        <f ca="1">IFERROR(FDS(MO.Ticker.FactSet,"P_PRICE_AVG"&amp;"("&amp;INDEX(MO_SNA_FPStartDate,0,COLUMN())&amp;","&amp;INDEX(MO_Common_QEndDate,0,COLUMN())&amp;",,,,""PRICE"",""CLOSE"")"),"N/A")</f>
        <v>N/A</v>
      </c>
      <c r="D1121" s="320" t="str">
        <f ca="1">IFERROR(FDS(MO.Ticker.FactSet,"P_PRICE_AVG"&amp;"("&amp;INDEX(MO_SNA_FPStartDate,0,COLUMN())&amp;","&amp;INDEX(MO_Common_QEndDate,0,COLUMN())&amp;",,,,""PRICE"",""CLOSE"")"),"N/A")</f>
        <v>N/A</v>
      </c>
      <c r="E1121" s="319" t="str">
        <f ca="1">IFERROR(FDS(MO.Ticker.FactSet,"P_PRICE_AVG"&amp;"("&amp;INDEX(MO_SNA_FPStartDate,0,COLUMN())&amp;","&amp;INDEX(MO_Common_QEndDate,0,COLUMN())&amp;",,,,""PRICE"",""CLOSE"")"),"N/A")</f>
        <v>N/A</v>
      </c>
      <c r="F1121" s="319" t="str">
        <f ca="1">IFERROR(FDS(MO.Ticker.FactSet,"P_PRICE_AVG"&amp;"("&amp;INDEX(MO_SNA_FPStartDate,0,COLUMN())&amp;","&amp;INDEX(MO_Common_QEndDate,0,COLUMN())&amp;",,,,""PRICE"",""CLOSE"")"),"N/A")</f>
        <v>N/A</v>
      </c>
      <c r="G1121" s="319" t="str">
        <f ca="1">IFERROR(FDS(MO.Ticker.FactSet,"P_PRICE_AVG"&amp;"("&amp;INDEX(MO_SNA_FPStartDate,0,COLUMN())&amp;","&amp;INDEX(MO_Common_QEndDate,0,COLUMN())&amp;",,,,""PRICE"",""CLOSE"")"),"N/A")</f>
        <v>N/A</v>
      </c>
      <c r="H1121" s="319" t="str">
        <f ca="1">IFERROR(FDS(MO.Ticker.FactSet,"P_PRICE_AVG"&amp;"("&amp;INDEX(MO_SNA_FPStartDate,0,COLUMN())&amp;","&amp;INDEX(MO_Common_QEndDate,0,COLUMN())&amp;",,,,""PRICE"",""CLOSE"")"),"N/A")</f>
        <v>N/A</v>
      </c>
      <c r="I1121" s="319" t="str">
        <f ca="1">IFERROR(FDS(MO.Ticker.FactSet,"P_PRICE_AVG"&amp;"("&amp;INDEX(MO_SNA_FPStartDate,0,COLUMN())&amp;","&amp;INDEX(MO_Common_QEndDate,0,COLUMN())&amp;",,,,""PRICE"",""CLOSE"")"),"N/A")</f>
        <v>N/A</v>
      </c>
      <c r="J1121" s="319" t="str">
        <f ca="1">IFERROR(FDS(MO.Ticker.FactSet,"P_PRICE_AVG"&amp;"("&amp;INDEX(MO_SNA_FPStartDate,0,COLUMN())&amp;","&amp;INDEX(MO_Common_QEndDate,0,COLUMN())&amp;",,,,""PRICE"",""CLOSE"")"),"N/A")</f>
        <v>N/A</v>
      </c>
      <c r="K1121" s="319" t="str">
        <f ca="1">IFERROR(FDS(MO.Ticker.FactSet,"P_PRICE_AVG"&amp;"("&amp;INDEX(MO_SNA_FPStartDate,0,COLUMN())&amp;","&amp;INDEX(MO_Common_QEndDate,0,COLUMN())&amp;",,,,""PRICE"",""CLOSE"")"),"N/A")</f>
        <v>N/A</v>
      </c>
      <c r="L1121" s="319" t="str">
        <f ca="1">IFERROR(FDS(MO.Ticker.FactSet,"P_PRICE_AVG"&amp;"("&amp;INDEX(MO_SNA_FPStartDate,0,COLUMN())&amp;","&amp;INDEX(MO_Common_QEndDate,0,COLUMN())&amp;",,,,""PRICE"",""CLOSE"")"),"N/A")</f>
        <v>N/A</v>
      </c>
      <c r="M1121" s="319" t="str">
        <f ca="1">IFERROR(FDS(MO.Ticker.FactSet,"P_PRICE_AVG"&amp;"("&amp;INDEX(MO_SNA_FPStartDate,0,COLUMN())&amp;","&amp;INDEX(MO_Common_QEndDate,0,COLUMN())&amp;",,,,""PRICE"",""CLOSE"")"),"N/A")</f>
        <v>N/A</v>
      </c>
      <c r="N1121" s="319" t="str">
        <f ca="1">IFERROR(FDS(MO.Ticker.FactSet,"P_PRICE_AVG"&amp;"("&amp;INDEX(MO_SNA_FPStartDate,0,COLUMN())&amp;","&amp;INDEX(MO_Common_QEndDate,0,COLUMN())&amp;",,,,""PRICE"",""CLOSE"")"),"N/A")</f>
        <v>N/A</v>
      </c>
      <c r="O1121" s="319" t="str">
        <f ca="1">IFERROR(FDS(MO.Ticker.FactSet,"P_PRICE_AVG"&amp;"("&amp;INDEX(MO_SNA_FPStartDate,0,COLUMN())&amp;","&amp;INDEX(MO_Common_QEndDate,0,COLUMN())&amp;",,,,""PRICE"",""CLOSE"")"),"N/A")</f>
        <v>N/A</v>
      </c>
      <c r="P1121" s="319" t="str">
        <f ca="1">IFERROR(FDS(MO.Ticker.FactSet,"P_PRICE_AVG"&amp;"("&amp;INDEX(MO_SNA_FPStartDate,0,COLUMN())&amp;","&amp;INDEX(MO_Common_QEndDate,0,COLUMN())&amp;",,,,""PRICE"",""CLOSE"")"),"N/A")</f>
        <v>N/A</v>
      </c>
      <c r="Q1121" s="319" t="str">
        <f ca="1">IFERROR(FDS(MO.Ticker.FactSet,"P_PRICE_AVG"&amp;"("&amp;INDEX(MO_SNA_FPStartDate,0,COLUMN())&amp;","&amp;INDEX(MO_Common_QEndDate,0,COLUMN())&amp;",,,,""PRICE"",""CLOSE"")"),"N/A")</f>
        <v>N/A</v>
      </c>
      <c r="R1121" s="319" t="str">
        <f ca="1">IFERROR(FDS(MO.Ticker.FactSet,"P_PRICE_AVG"&amp;"("&amp;INDEX(MO_SNA_FPStartDate,0,COLUMN())&amp;","&amp;INDEX(MO_Common_QEndDate,0,COLUMN())&amp;",,,,""PRICE"",""CLOSE"")"),"N/A")</f>
        <v>N/A</v>
      </c>
      <c r="S1121" s="319" t="str">
        <f ca="1">IFERROR(FDS(MO.Ticker.FactSet,"P_PRICE_AVG"&amp;"("&amp;INDEX(MO_SNA_FPStartDate,0,COLUMN())&amp;","&amp;INDEX(MO_Common_QEndDate,0,COLUMN())&amp;",,,,""PRICE"",""CLOSE"")"),"N/A")</f>
        <v>N/A</v>
      </c>
      <c r="T1121" s="319" t="str">
        <f ca="1">IFERROR(FDS(MO.Ticker.FactSet,"P_PRICE_AVG"&amp;"("&amp;INDEX(MO_SNA_FPStartDate,0,COLUMN())&amp;","&amp;INDEX(MO_Common_QEndDate,0,COLUMN())&amp;",,,,""PRICE"",""CLOSE"")"),"N/A")</f>
        <v>N/A</v>
      </c>
      <c r="U1121" s="319" t="str">
        <f ca="1">IFERROR(FDS(MO.Ticker.FactSet,"P_PRICE_AVG"&amp;"("&amp;INDEX(MO_SNA_FPStartDate,0,COLUMN())&amp;","&amp;INDEX(MO_Common_QEndDate,0,COLUMN())&amp;",,,,""PRICE"",""CLOSE"")"),"N/A")</f>
        <v>N/A</v>
      </c>
      <c r="V1121" s="319" t="str">
        <f ca="1">IFERROR(FDS(MO.Ticker.FactSet,"P_PRICE_AVG"&amp;"("&amp;INDEX(MO_SNA_FPStartDate,0,COLUMN())&amp;","&amp;INDEX(MO_Common_QEndDate,0,COLUMN())&amp;",,,,""PRICE"",""CLOSE"")"),"N/A")</f>
        <v>N/A</v>
      </c>
      <c r="W1121" s="319" t="str">
        <f ca="1">IFERROR(FDS(MO.Ticker.FactSet,"P_PRICE_AVG"&amp;"("&amp;INDEX(MO_SNA_FPStartDate,0,COLUMN())&amp;","&amp;INDEX(MO_Common_QEndDate,0,COLUMN())&amp;",,,,""PRICE"",""CLOSE"")"),"N/A")</f>
        <v>N/A</v>
      </c>
      <c r="X1121" s="319" t="str">
        <f ca="1">IFERROR(FDS(MO.Ticker.FactSet,"P_PRICE_AVG"&amp;"("&amp;INDEX(MO_SNA_FPStartDate,0,COLUMN())&amp;","&amp;INDEX(MO_Common_QEndDate,0,COLUMN())&amp;",,,,""PRICE"",""CLOSE"")"),"N/A")</f>
        <v>N/A</v>
      </c>
      <c r="Y1121" s="319" t="str">
        <f ca="1">IFERROR(FDS(MO.Ticker.FactSet,"P_PRICE_AVG"&amp;"("&amp;INDEX(MO_SNA_FPStartDate,0,COLUMN())&amp;","&amp;INDEX(MO_Common_QEndDate,0,COLUMN())&amp;",,,,""PRICE"",""CLOSE"")"),"N/A")</f>
        <v>N/A</v>
      </c>
      <c r="Z1121" s="319" t="str">
        <f ca="1">IFERROR(FDS(MO.Ticker.FactSet,"P_PRICE_AVG"&amp;"("&amp;INDEX(MO_SNA_FPStartDate,0,COLUMN())&amp;","&amp;INDEX(MO_Common_QEndDate,0,COLUMN())&amp;",,,,""PRICE"",""CLOSE"")"),"N/A")</f>
        <v>N/A</v>
      </c>
      <c r="AA1121" s="319" t="str">
        <f ca="1">IFERROR(FDS(MO.Ticker.FactSet,"P_PRICE_AVG"&amp;"("&amp;INDEX(MO_SNA_FPStartDate,0,COLUMN())&amp;","&amp;INDEX(MO_Common_QEndDate,0,COLUMN())&amp;",,,,""PRICE"",""CLOSE"")"),"N/A")</f>
        <v>N/A</v>
      </c>
      <c r="AB1121" s="319" t="str">
        <f ca="1">IFERROR(FDS(MO.Ticker.FactSet,"P_PRICE_AVG"&amp;"("&amp;INDEX(MO_SNA_FPStartDate,0,COLUMN())&amp;","&amp;INDEX(MO_Common_QEndDate,0,COLUMN())&amp;",,,,""PRICE"",""CLOSE"")"),"N/A")</f>
        <v>N/A</v>
      </c>
      <c r="AC1121" s="319" t="str">
        <f ca="1">IFERROR(FDS(MO.Ticker.FactSet,"P_PRICE_AVG"&amp;"("&amp;INDEX(MO_SNA_FPStartDate,0,COLUMN())&amp;","&amp;INDEX(MO_Common_QEndDate,0,COLUMN())&amp;",,,,""PRICE"",""CLOSE"")"),"N/A")</f>
        <v>N/A</v>
      </c>
      <c r="AD1121" s="319" t="str">
        <f ca="1">IFERROR(FDS(MO.Ticker.FactSet,"P_PRICE_AVG"&amp;"("&amp;INDEX(MO_SNA_FPStartDate,0,COLUMN())&amp;","&amp;INDEX(MO_Common_QEndDate,0,COLUMN())&amp;",,,,""PRICE"",""CLOSE"")"),"N/A")</f>
        <v>N/A</v>
      </c>
      <c r="AE1121" s="319" t="str">
        <f ca="1">IFERROR(FDS(MO.Ticker.FactSet,"P_PRICE_AVG"&amp;"("&amp;INDEX(MO_SNA_FPStartDate,0,COLUMN())&amp;","&amp;INDEX(MO_Common_QEndDate,0,COLUMN())&amp;",,,,""PRICE"",""CLOSE"")"),"N/A")</f>
        <v>N/A</v>
      </c>
      <c r="AF1121" s="319" t="str">
        <f ca="1">IFERROR(FDS(MO.Ticker.FactSet,"P_PRICE_AVG"&amp;"("&amp;INDEX(MO_SNA_FPStartDate,0,COLUMN())&amp;","&amp;INDEX(MO_Common_QEndDate,0,COLUMN())&amp;",,,,""PRICE"",""CLOSE"")"),"N/A")</f>
        <v>N/A</v>
      </c>
      <c r="AG1121" s="319" t="str">
        <f ca="1">IFERROR(FDS(MO.Ticker.FactSet,"P_PRICE_AVG"&amp;"("&amp;INDEX(MO_SNA_FPStartDate,0,COLUMN())&amp;","&amp;INDEX(MO_Common_QEndDate,0,COLUMN())&amp;",,,,""PRICE"",""CLOSE"")"),"N/A")</f>
        <v>N/A</v>
      </c>
      <c r="AH1121" s="319" t="str">
        <f ca="1">IFERROR(FDS(MO.Ticker.FactSet,"P_PRICE_AVG"&amp;"("&amp;INDEX(MO_SNA_FPStartDate,0,COLUMN())&amp;","&amp;INDEX(MO_Common_QEndDate,0,COLUMN())&amp;",,,,""PRICE"",""CLOSE"")"),"N/A")</f>
        <v>N/A</v>
      </c>
      <c r="AI1121" s="319" t="str">
        <f ca="1">IFERROR(FDS(MO.Ticker.FactSet,"P_PRICE_AVG"&amp;"("&amp;INDEX(MO_SNA_FPStartDate,0,COLUMN())&amp;","&amp;INDEX(MO_Common_QEndDate,0,COLUMN())&amp;",,,,""PRICE"",""CLOSE"")"),"N/A")</f>
        <v>N/A</v>
      </c>
      <c r="AJ1121" s="319" t="str">
        <f ca="1">IFERROR(FDS(MO.Ticker.FactSet,"P_PRICE_AVG"&amp;"("&amp;INDEX(MO_SNA_FPStartDate,0,COLUMN())&amp;","&amp;INDEX(MO_Common_QEndDate,0,COLUMN())&amp;",,,,""PRICE"",""CLOSE"")"),"N/A")</f>
        <v>N/A</v>
      </c>
      <c r="AK1121" s="319" t="str">
        <f ca="1">IFERROR(FDS(MO.Ticker.FactSet,"P_PRICE_AVG"&amp;"("&amp;INDEX(MO_SNA_FPStartDate,0,COLUMN())&amp;","&amp;INDEX(MO_Common_QEndDate,0,COLUMN())&amp;",,,,""PRICE"",""CLOSE"")"),"N/A")</f>
        <v>N/A</v>
      </c>
      <c r="AL1121" s="319" t="str">
        <f ca="1">IFERROR(FDS(MO.Ticker.FactSet,"P_PRICE_AVG"&amp;"("&amp;INDEX(MO_SNA_FPStartDate,0,COLUMN())&amp;","&amp;INDEX(MO_Common_QEndDate,0,COLUMN())&amp;",,,,""PRICE"",""CLOSE"")"),"N/A")</f>
        <v>N/A</v>
      </c>
      <c r="AM1121" s="319" t="str">
        <f ca="1">IFERROR(FDS(MO.Ticker.FactSet,"P_PRICE_AVG"&amp;"("&amp;INDEX(MO_SNA_FPStartDate,0,COLUMN())&amp;","&amp;INDEX(MO_Common_QEndDate,0,COLUMN())&amp;",,,,""PRICE"",""CLOSE"")"),"N/A")</f>
        <v>N/A</v>
      </c>
      <c r="AN1121" s="319" t="str">
        <f ca="1">IFERROR(FDS(MO.Ticker.FactSet,"P_PRICE_AVG"&amp;"("&amp;INDEX(MO_SNA_FPStartDate,0,COLUMN())&amp;","&amp;INDEX(MO_Common_QEndDate,0,COLUMN())&amp;",,,,""PRICE"",""CLOSE"")"),"N/A")</f>
        <v>N/A</v>
      </c>
      <c r="AO1121" s="319" t="str">
        <f ca="1">IFERROR(FDS(MO.Ticker.FactSet,"P_PRICE_AVG"&amp;"("&amp;INDEX(MO_SNA_FPStartDate,0,COLUMN())&amp;","&amp;INDEX(MO_Common_QEndDate,0,COLUMN())&amp;",,,,""PRICE"",""CLOSE"")"),"N/A")</f>
        <v>N/A</v>
      </c>
      <c r="AP1121" s="319" t="str">
        <f ca="1">IFERROR(FDS(MO.Ticker.FactSet,"P_PRICE_AVG"&amp;"("&amp;INDEX(MO_SNA_FPStartDate,0,COLUMN())&amp;","&amp;INDEX(MO_Common_QEndDate,0,COLUMN())&amp;",,,,""PRICE"",""CLOSE"")"),"N/A")</f>
        <v>N/A</v>
      </c>
      <c r="AQ1121" s="319" t="str">
        <f ca="1">IFERROR(FDS(MO.Ticker.FactSet,"P_PRICE_AVG"&amp;"("&amp;INDEX(MO_SNA_FPStartDate,0,COLUMN())&amp;","&amp;INDEX(MO_Common_QEndDate,0,COLUMN())&amp;",,,,""PRICE"",""CLOSE"")"),"N/A")</f>
        <v>N/A</v>
      </c>
      <c r="AR1121" s="319" t="str">
        <f ca="1">IFERROR(FDS(MO.Ticker.FactSet,"P_PRICE_AVG"&amp;"("&amp;INDEX(MO_SNA_FPStartDate,0,COLUMN())&amp;","&amp;INDEX(MO_Common_QEndDate,0,COLUMN())&amp;",,,,""PRICE"",""CLOSE"")"),"N/A")</f>
        <v>N/A</v>
      </c>
      <c r="AS1121" s="319" t="str">
        <f ca="1">IFERROR(FDS(MO.Ticker.FactSet,"P_PRICE_AVG"&amp;"("&amp;INDEX(MO_SNA_FPStartDate,0,COLUMN())&amp;","&amp;INDEX(MO_Common_QEndDate,0,COLUMN())&amp;",,,,""PRICE"",""CLOSE"")"),"N/A")</f>
        <v>N/A</v>
      </c>
      <c r="AT1121" s="319" t="str">
        <f ca="1">IFERROR(FDS(MO.Ticker.FactSet,"P_PRICE_AVG"&amp;"("&amp;INDEX(MO_SNA_FPStartDate,0,COLUMN())&amp;","&amp;INDEX(MO_Common_QEndDate,0,COLUMN())&amp;",,,,""PRICE"",""CLOSE"")"),"N/A")</f>
        <v>N/A</v>
      </c>
      <c r="AU1121" s="319" t="str">
        <f ca="1">IFERROR(FDS(MO.Ticker.FactSet,"P_PRICE_AVG"&amp;"("&amp;INDEX(MO_SNA_FPStartDate,0,COLUMN())&amp;","&amp;INDEX(MO_Common_QEndDate,0,COLUMN())&amp;",,,,""PRICE"",""CLOSE"")"),"N/A")</f>
        <v>N/A</v>
      </c>
      <c r="AV1121" s="319" t="str">
        <f ca="1">IFERROR(FDS(MO.Ticker.FactSet,"P_PRICE_AVG"&amp;"("&amp;INDEX(MO_SNA_FPStartDate,0,COLUMN())&amp;","&amp;INDEX(MO_Common_QEndDate,0,COLUMN())&amp;",,,,""PRICE"",""CLOSE"")"),"N/A")</f>
        <v>N/A</v>
      </c>
      <c r="AW1121" s="319" t="str">
        <f ca="1">IFERROR(FDS(MO.Ticker.FactSet,"P_PRICE_AVG"&amp;"("&amp;INDEX(MO_SNA_FPStartDate,0,COLUMN())&amp;","&amp;INDEX(MO_Common_QEndDate,0,COLUMN())&amp;",,,,""PRICE"",""CLOSE"")"),"N/A")</f>
        <v>N/A</v>
      </c>
      <c r="AX1121" s="319" t="str">
        <f ca="1">IFERROR(FDS(MO.Ticker.FactSet,"P_PRICE_AVG"&amp;"("&amp;INDEX(MO_SNA_FPStartDate,0,COLUMN())&amp;","&amp;INDEX(MO_Common_QEndDate,0,COLUMN())&amp;",,,,""PRICE"",""CLOSE"")"),"N/A")</f>
        <v>N/A</v>
      </c>
      <c r="AY1121" s="319" t="str">
        <f ca="1">IFERROR(FDS(MO.Ticker.FactSet,"P_PRICE_AVG"&amp;"("&amp;INDEX(MO_SNA_FPStartDate,0,COLUMN())&amp;","&amp;INDEX(MO_Common_QEndDate,0,COLUMN())&amp;",,,,""PRICE"",""CLOSE"")"),"N/A")</f>
        <v>N/A</v>
      </c>
      <c r="AZ1121" s="319" t="str">
        <f ca="1">IFERROR(FDS(MO.Ticker.FactSet,"P_PRICE_AVG"&amp;"("&amp;INDEX(MO_SNA_FPStartDate,0,COLUMN())&amp;","&amp;INDEX(MO_Common_QEndDate,0,COLUMN())&amp;",,,,""PRICE"",""CLOSE"")"),"N/A")</f>
        <v>N/A</v>
      </c>
      <c r="BA1121" s="319" t="str">
        <f ca="1">IFERROR(FDS(MO.Ticker.FactSet,"P_PRICE_AVG"&amp;"("&amp;INDEX(MO_SNA_FPStartDate,0,COLUMN())&amp;","&amp;INDEX(MO_Common_QEndDate,0,COLUMN())&amp;",,,,""PRICE"",""CLOSE"")"),"N/A")</f>
        <v>N/A</v>
      </c>
      <c r="BB1121" s="319" t="str">
        <f ca="1">IFERROR(FDS(MO.Ticker.FactSet,"P_PRICE_AVG"&amp;"("&amp;INDEX(MO_SNA_FPStartDate,0,COLUMN())&amp;","&amp;INDEX(MO_Common_QEndDate,0,COLUMN())&amp;",,,,""PRICE"",""CLOSE"")"),"N/A")</f>
        <v>N/A</v>
      </c>
      <c r="BC1121" s="319" t="str">
        <f ca="1">IFERROR(FDS(MO.Ticker.FactSet,"P_PRICE_AVG"&amp;"("&amp;INDEX(MO_SNA_FPStartDate,0,COLUMN())&amp;","&amp;INDEX(MO_Common_QEndDate,0,COLUMN())&amp;",,,,""PRICE"",""CLOSE"")"),"N/A")</f>
        <v>N/A</v>
      </c>
      <c r="BD1121" s="319" t="str">
        <f ca="1">IFERROR(FDS(MO.Ticker.FactSet,"P_PRICE_AVG"&amp;"("&amp;INDEX(MO_SNA_FPStartDate,0,COLUMN())&amp;","&amp;INDEX(MO_Common_QEndDate,0,COLUMN())&amp;",,,,""PRICE"",""CLOSE"")"),"N/A")</f>
        <v>N/A</v>
      </c>
      <c r="BE1121" s="319" t="str">
        <f ca="1">IFERROR(FDS(MO.Ticker.FactSet,"P_PRICE_AVG"&amp;"("&amp;INDEX(MO_SNA_FPStartDate,0,COLUMN())&amp;","&amp;INDEX(MO_Common_QEndDate,0,COLUMN())&amp;",,,,""PRICE"",""CLOSE"")"),"N/A")</f>
        <v>N/A</v>
      </c>
      <c r="BF1121" s="319" t="str">
        <f ca="1">IFERROR(FDS(MO.Ticker.FactSet,"P_PRICE_AVG"&amp;"("&amp;INDEX(MO_SNA_FPStartDate,0,COLUMN())&amp;","&amp;INDEX(MO_Common_QEndDate,0,COLUMN())&amp;",,,,""PRICE"",""CLOSE"")"),"N/A")</f>
        <v>N/A</v>
      </c>
      <c r="BG1121" s="319" t="str">
        <f ca="1">IFERROR(FDS(MO.Ticker.FactSet,"P_PRICE_AVG"&amp;"("&amp;INDEX(MO_SNA_FPStartDate,0,COLUMN())&amp;","&amp;INDEX(MO_Common_QEndDate,0,COLUMN())&amp;",,,,""PRICE"",""CLOSE"")"),"N/A")</f>
        <v>N/A</v>
      </c>
      <c r="BH1121" s="454" t="str">
        <f ca="1">IFERROR(FDS(MO.Ticker.FactSet,"P_PRICE_AVG"&amp;"("&amp;INDEX(MO_SNA_FPStartDate,0,COLUMN())&amp;","&amp;INDEX(MO_Common_QEndDate,0,COLUMN())&amp;",,,,""PRICE"",""CLOSE"")"),"N/A")</f>
        <v>N/A</v>
      </c>
      <c r="BI1121" s="319" t="str">
        <f ca="1">IFERROR(FDS(MO.Ticker.FactSet,"P_PRICE_AVG"&amp;"("&amp;INDEX(MO_SNA_FPStartDate,0,COLUMN())&amp;","&amp;INDEX(MO_Common_QEndDate,0,COLUMN())&amp;",,,,""PRICE"",""CLOSE"")"),"N/A")</f>
        <v>N/A</v>
      </c>
      <c r="BJ1121" s="319" t="str">
        <f ca="1">IFERROR(FDS(MO.Ticker.FactSet,"P_PRICE_AVG"&amp;"("&amp;INDEX(MO_SNA_FPStartDate,0,COLUMN())&amp;","&amp;INDEX(MO_Common_QEndDate,0,COLUMN())&amp;",,,,""PRICE"",""CLOSE"")"),"N/A")</f>
        <v>N/A</v>
      </c>
      <c r="BK1121" s="319" t="str">
        <f ca="1">IFERROR(FDS(MO.Ticker.FactSet,"P_PRICE_AVG"&amp;"("&amp;INDEX(MO_SNA_FPStartDate,0,COLUMN())&amp;","&amp;INDEX(MO_Common_QEndDate,0,COLUMN())&amp;",,,,""PRICE"",""CLOSE"")"),"N/A")</f>
        <v>N/A</v>
      </c>
      <c r="BL1121" s="319" t="str">
        <f ca="1">IFERROR(FDS(MO.Ticker.FactSet,"P_PRICE_AVG"&amp;"("&amp;INDEX(MO_SNA_FPStartDate,0,COLUMN())&amp;","&amp;INDEX(MO_Common_QEndDate,0,COLUMN())&amp;",,,,""PRICE"",""CLOSE"")"),"N/A")</f>
        <v>N/A</v>
      </c>
      <c r="BM1121" s="319" t="str">
        <f ca="1">IFERROR(FDS(MO.Ticker.FactSet,"P_PRICE_AVG"&amp;"("&amp;INDEX(MO_SNA_FPStartDate,0,COLUMN())&amp;","&amp;INDEX(MO_Common_QEndDate,0,COLUMN())&amp;",,,,""PRICE"",""CLOSE"")"),"N/A")</f>
        <v>N/A</v>
      </c>
      <c r="BN1121" s="319" t="str">
        <f ca="1">IFERROR(FDS(MO.Ticker.FactSet,"P_PRICE_AVG"&amp;"("&amp;INDEX(MO_SNA_FPStartDate,0,COLUMN())&amp;","&amp;INDEX(MO_Common_QEndDate,0,COLUMN())&amp;",,,,""PRICE"",""CLOSE"")"),"N/A")</f>
        <v>N/A</v>
      </c>
      <c r="BO1121" s="319" t="str">
        <f ca="1">IFERROR(FDS(MO.Ticker.FactSet,"P_PRICE_AVG"&amp;"("&amp;INDEX(MO_SNA_FPStartDate,0,COLUMN())&amp;","&amp;INDEX(MO_Common_QEndDate,0,COLUMN())&amp;",,,,""PRICE"",""CLOSE"")"),"N/A")</f>
        <v>N/A</v>
      </c>
      <c r="BP1121" s="319" t="str">
        <f ca="1">IFERROR(FDS(MO.Ticker.FactSet,"P_PRICE_AVG"&amp;"("&amp;INDEX(MO_SNA_FPStartDate,0,COLUMN())&amp;","&amp;INDEX(MO_Common_QEndDate,0,COLUMN())&amp;",,,,""PRICE"",""CLOSE"")"),"N/A")</f>
        <v>N/A</v>
      </c>
      <c r="BQ1121" s="319" t="str">
        <f ca="1">IFERROR(FDS(MO.Ticker.FactSet,"P_PRICE_AVG"&amp;"("&amp;INDEX(MO_SNA_FPStartDate,0,COLUMN())&amp;","&amp;INDEX(MO_Common_QEndDate,0,COLUMN())&amp;",,,,""PRICE"",""CLOSE"")"),"N/A")</f>
        <v>N/A</v>
      </c>
      <c r="BR1121" s="321" t="str">
        <f ca="1">IFERROR(FDS(MO.Ticker.FactSet,"P_PRICE_AVG"&amp;"("&amp;INDEX(MO_SNA_FPStartDate,0,COLUMN())&amp;","&amp;INDEX(MO_Common_QEndDate,0,COLUMN())&amp;",,,,""PRICE"",""CLOSE"")"),"N/A")</f>
        <v>N/A</v>
      </c>
      <c r="BS1121" s="355"/>
    </row>
    <row r="1122" spans="1:71" s="322" customFormat="1" ht="15" hidden="1" outlineLevel="1">
      <c r="A1122" s="323" t="s">
        <v>654</v>
      </c>
      <c r="B1122" s="319"/>
      <c r="C1122" s="320" t="str">
        <f ca="1">IFERROR(_xll.TR(MO.Ticker.Thomson,"AVG(TR.Priceclose)","sdate:#1 edate:#2",,INDEX(MO_SNA_FPStartDate,0,COLUMN()),INDEX(MO_Common_QEndDate,0,COLUMN())),"N/A")</f>
        <v>N/A</v>
      </c>
      <c r="D1122" s="320" t="str">
        <f ca="1">IFERROR(_xll.TR(MO.Ticker.Thomson,"AVG(TR.Priceclose)","sdate:#1 edate:#2",,INDEX(MO_SNA_FPStartDate,0,COLUMN()),INDEX(MO_Common_QEndDate,0,COLUMN())),"N/A")</f>
        <v>N/A</v>
      </c>
      <c r="E1122" s="319" t="str">
        <f ca="1">IFERROR(_xll.TR(MO.Ticker.Thomson,"AVG(TR.Priceclose)","sdate:#1 edate:#2",,INDEX(MO_SNA_FPStartDate,0,COLUMN()),INDEX(MO_Common_QEndDate,0,COLUMN())),"N/A")</f>
        <v>N/A</v>
      </c>
      <c r="F1122" s="319" t="str">
        <f ca="1">IFERROR(_xll.TR(MO.Ticker.Thomson,"AVG(TR.Priceclose)","sdate:#1 edate:#2",,INDEX(MO_SNA_FPStartDate,0,COLUMN()),INDEX(MO_Common_QEndDate,0,COLUMN())),"N/A")</f>
        <v>N/A</v>
      </c>
      <c r="G1122" s="319" t="str">
        <f ca="1">IFERROR(_xll.TR(MO.Ticker.Thomson,"AVG(TR.Priceclose)","sdate:#1 edate:#2",,INDEX(MO_SNA_FPStartDate,0,COLUMN()),INDEX(MO_Common_QEndDate,0,COLUMN())),"N/A")</f>
        <v>N/A</v>
      </c>
      <c r="H1122" s="319" t="str">
        <f ca="1">IFERROR(_xll.TR(MO.Ticker.Thomson,"AVG(TR.Priceclose)","sdate:#1 edate:#2",,INDEX(MO_SNA_FPStartDate,0,COLUMN()),INDEX(MO_Common_QEndDate,0,COLUMN())),"N/A")</f>
        <v>N/A</v>
      </c>
      <c r="I1122" s="319" t="str">
        <f ca="1">IFERROR(_xll.TR(MO.Ticker.Thomson,"AVG(TR.Priceclose)","sdate:#1 edate:#2",,INDEX(MO_SNA_FPStartDate,0,COLUMN()),INDEX(MO_Common_QEndDate,0,COLUMN())),"N/A")</f>
        <v>N/A</v>
      </c>
      <c r="J1122" s="319" t="str">
        <f ca="1">IFERROR(_xll.TR(MO.Ticker.Thomson,"AVG(TR.Priceclose)","sdate:#1 edate:#2",,INDEX(MO_SNA_FPStartDate,0,COLUMN()),INDEX(MO_Common_QEndDate,0,COLUMN())),"N/A")</f>
        <v>N/A</v>
      </c>
      <c r="K1122" s="319" t="str">
        <f ca="1">IFERROR(_xll.TR(MO.Ticker.Thomson,"AVG(TR.Priceclose)","sdate:#1 edate:#2",,INDEX(MO_SNA_FPStartDate,0,COLUMN()),INDEX(MO_Common_QEndDate,0,COLUMN())),"N/A")</f>
        <v>N/A</v>
      </c>
      <c r="L1122" s="319" t="str">
        <f ca="1">IFERROR(_xll.TR(MO.Ticker.Thomson,"AVG(TR.Priceclose)","sdate:#1 edate:#2",,INDEX(MO_SNA_FPStartDate,0,COLUMN()),INDEX(MO_Common_QEndDate,0,COLUMN())),"N/A")</f>
        <v>N/A</v>
      </c>
      <c r="M1122" s="319" t="str">
        <f ca="1">IFERROR(_xll.TR(MO.Ticker.Thomson,"AVG(TR.Priceclose)","sdate:#1 edate:#2",,INDEX(MO_SNA_FPStartDate,0,COLUMN()),INDEX(MO_Common_QEndDate,0,COLUMN())),"N/A")</f>
        <v>N/A</v>
      </c>
      <c r="N1122" s="319" t="str">
        <f ca="1">IFERROR(_xll.TR(MO.Ticker.Thomson,"AVG(TR.Priceclose)","sdate:#1 edate:#2",,INDEX(MO_SNA_FPStartDate,0,COLUMN()),INDEX(MO_Common_QEndDate,0,COLUMN())),"N/A")</f>
        <v>N/A</v>
      </c>
      <c r="O1122" s="319" t="str">
        <f ca="1">IFERROR(_xll.TR(MO.Ticker.Thomson,"AVG(TR.Priceclose)","sdate:#1 edate:#2",,INDEX(MO_SNA_FPStartDate,0,COLUMN()),INDEX(MO_Common_QEndDate,0,COLUMN())),"N/A")</f>
        <v>N/A</v>
      </c>
      <c r="P1122" s="319" t="str">
        <f ca="1">IFERROR(_xll.TR(MO.Ticker.Thomson,"AVG(TR.Priceclose)","sdate:#1 edate:#2",,INDEX(MO_SNA_FPStartDate,0,COLUMN()),INDEX(MO_Common_QEndDate,0,COLUMN())),"N/A")</f>
        <v>N/A</v>
      </c>
      <c r="Q1122" s="319" t="str">
        <f ca="1">IFERROR(_xll.TR(MO.Ticker.Thomson,"AVG(TR.Priceclose)","sdate:#1 edate:#2",,INDEX(MO_SNA_FPStartDate,0,COLUMN()),INDEX(MO_Common_QEndDate,0,COLUMN())),"N/A")</f>
        <v>N/A</v>
      </c>
      <c r="R1122" s="319" t="str">
        <f ca="1">IFERROR(_xll.TR(MO.Ticker.Thomson,"AVG(TR.Priceclose)","sdate:#1 edate:#2",,INDEX(MO_SNA_FPStartDate,0,COLUMN()),INDEX(MO_Common_QEndDate,0,COLUMN())),"N/A")</f>
        <v>N/A</v>
      </c>
      <c r="S1122" s="319" t="str">
        <f ca="1">IFERROR(_xll.TR(MO.Ticker.Thomson,"AVG(TR.Priceclose)","sdate:#1 edate:#2",,INDEX(MO_SNA_FPStartDate,0,COLUMN()),INDEX(MO_Common_QEndDate,0,COLUMN())),"N/A")</f>
        <v>N/A</v>
      </c>
      <c r="T1122" s="319" t="str">
        <f ca="1">IFERROR(_xll.TR(MO.Ticker.Thomson,"AVG(TR.Priceclose)","sdate:#1 edate:#2",,INDEX(MO_SNA_FPStartDate,0,COLUMN()),INDEX(MO_Common_QEndDate,0,COLUMN())),"N/A")</f>
        <v>N/A</v>
      </c>
      <c r="U1122" s="319" t="str">
        <f ca="1">IFERROR(_xll.TR(MO.Ticker.Thomson,"AVG(TR.Priceclose)","sdate:#1 edate:#2",,INDEX(MO_SNA_FPStartDate,0,COLUMN()),INDEX(MO_Common_QEndDate,0,COLUMN())),"N/A")</f>
        <v>N/A</v>
      </c>
      <c r="V1122" s="319" t="str">
        <f ca="1">IFERROR(_xll.TR(MO.Ticker.Thomson,"AVG(TR.Priceclose)","sdate:#1 edate:#2",,INDEX(MO_SNA_FPStartDate,0,COLUMN()),INDEX(MO_Common_QEndDate,0,COLUMN())),"N/A")</f>
        <v>N/A</v>
      </c>
      <c r="W1122" s="319" t="str">
        <f ca="1">IFERROR(_xll.TR(MO.Ticker.Thomson,"AVG(TR.Priceclose)","sdate:#1 edate:#2",,INDEX(MO_SNA_FPStartDate,0,COLUMN()),INDEX(MO_Common_QEndDate,0,COLUMN())),"N/A")</f>
        <v>N/A</v>
      </c>
      <c r="X1122" s="319" t="str">
        <f ca="1">IFERROR(_xll.TR(MO.Ticker.Thomson,"AVG(TR.Priceclose)","sdate:#1 edate:#2",,INDEX(MO_SNA_FPStartDate,0,COLUMN()),INDEX(MO_Common_QEndDate,0,COLUMN())),"N/A")</f>
        <v>N/A</v>
      </c>
      <c r="Y1122" s="319" t="str">
        <f ca="1">IFERROR(_xll.TR(MO.Ticker.Thomson,"AVG(TR.Priceclose)","sdate:#1 edate:#2",,INDEX(MO_SNA_FPStartDate,0,COLUMN()),INDEX(MO_Common_QEndDate,0,COLUMN())),"N/A")</f>
        <v>N/A</v>
      </c>
      <c r="Z1122" s="319" t="str">
        <f ca="1">IFERROR(_xll.TR(MO.Ticker.Thomson,"AVG(TR.Priceclose)","sdate:#1 edate:#2",,INDEX(MO_SNA_FPStartDate,0,COLUMN()),INDEX(MO_Common_QEndDate,0,COLUMN())),"N/A")</f>
        <v>N/A</v>
      </c>
      <c r="AA1122" s="319" t="str">
        <f ca="1">IFERROR(_xll.TR(MO.Ticker.Thomson,"AVG(TR.Priceclose)","sdate:#1 edate:#2",,INDEX(MO_SNA_FPStartDate,0,COLUMN()),INDEX(MO_Common_QEndDate,0,COLUMN())),"N/A")</f>
        <v>N/A</v>
      </c>
      <c r="AB1122" s="319" t="str">
        <f ca="1">IFERROR(_xll.TR(MO.Ticker.Thomson,"AVG(TR.Priceclose)","sdate:#1 edate:#2",,INDEX(MO_SNA_FPStartDate,0,COLUMN()),INDEX(MO_Common_QEndDate,0,COLUMN())),"N/A")</f>
        <v>N/A</v>
      </c>
      <c r="AC1122" s="319" t="str">
        <f ca="1">IFERROR(_xll.TR(MO.Ticker.Thomson,"AVG(TR.Priceclose)","sdate:#1 edate:#2",,INDEX(MO_SNA_FPStartDate,0,COLUMN()),INDEX(MO_Common_QEndDate,0,COLUMN())),"N/A")</f>
        <v>N/A</v>
      </c>
      <c r="AD1122" s="319" t="str">
        <f ca="1">IFERROR(_xll.TR(MO.Ticker.Thomson,"AVG(TR.Priceclose)","sdate:#1 edate:#2",,INDEX(MO_SNA_FPStartDate,0,COLUMN()),INDEX(MO_Common_QEndDate,0,COLUMN())),"N/A")</f>
        <v>N/A</v>
      </c>
      <c r="AE1122" s="319" t="str">
        <f ca="1">IFERROR(_xll.TR(MO.Ticker.Thomson,"AVG(TR.Priceclose)","sdate:#1 edate:#2",,INDEX(MO_SNA_FPStartDate,0,COLUMN()),INDEX(MO_Common_QEndDate,0,COLUMN())),"N/A")</f>
        <v>N/A</v>
      </c>
      <c r="AF1122" s="319" t="str">
        <f ca="1">IFERROR(_xll.TR(MO.Ticker.Thomson,"AVG(TR.Priceclose)","sdate:#1 edate:#2",,INDEX(MO_SNA_FPStartDate,0,COLUMN()),INDEX(MO_Common_QEndDate,0,COLUMN())),"N/A")</f>
        <v>N/A</v>
      </c>
      <c r="AG1122" s="319" t="str">
        <f ca="1">IFERROR(_xll.TR(MO.Ticker.Thomson,"AVG(TR.Priceclose)","sdate:#1 edate:#2",,INDEX(MO_SNA_FPStartDate,0,COLUMN()),INDEX(MO_Common_QEndDate,0,COLUMN())),"N/A")</f>
        <v>N/A</v>
      </c>
      <c r="AH1122" s="319" t="str">
        <f ca="1">IFERROR(_xll.TR(MO.Ticker.Thomson,"AVG(TR.Priceclose)","sdate:#1 edate:#2",,INDEX(MO_SNA_FPStartDate,0,COLUMN()),INDEX(MO_Common_QEndDate,0,COLUMN())),"N/A")</f>
        <v>N/A</v>
      </c>
      <c r="AI1122" s="319" t="str">
        <f ca="1">IFERROR(_xll.TR(MO.Ticker.Thomson,"AVG(TR.Priceclose)","sdate:#1 edate:#2",,INDEX(MO_SNA_FPStartDate,0,COLUMN()),INDEX(MO_Common_QEndDate,0,COLUMN())),"N/A")</f>
        <v>N/A</v>
      </c>
      <c r="AJ1122" s="319" t="str">
        <f ca="1">IFERROR(_xll.TR(MO.Ticker.Thomson,"AVG(TR.Priceclose)","sdate:#1 edate:#2",,INDEX(MO_SNA_FPStartDate,0,COLUMN()),INDEX(MO_Common_QEndDate,0,COLUMN())),"N/A")</f>
        <v>N/A</v>
      </c>
      <c r="AK1122" s="319" t="str">
        <f ca="1">IFERROR(_xll.TR(MO.Ticker.Thomson,"AVG(TR.Priceclose)","sdate:#1 edate:#2",,INDEX(MO_SNA_FPStartDate,0,COLUMN()),INDEX(MO_Common_QEndDate,0,COLUMN())),"N/A")</f>
        <v>N/A</v>
      </c>
      <c r="AL1122" s="319" t="str">
        <f ca="1">IFERROR(_xll.TR(MO.Ticker.Thomson,"AVG(TR.Priceclose)","sdate:#1 edate:#2",,INDEX(MO_SNA_FPStartDate,0,COLUMN()),INDEX(MO_Common_QEndDate,0,COLUMN())),"N/A")</f>
        <v>N/A</v>
      </c>
      <c r="AM1122" s="319" t="str">
        <f ca="1">IFERROR(_xll.TR(MO.Ticker.Thomson,"AVG(TR.Priceclose)","sdate:#1 edate:#2",,INDEX(MO_SNA_FPStartDate,0,COLUMN()),INDEX(MO_Common_QEndDate,0,COLUMN())),"N/A")</f>
        <v>N/A</v>
      </c>
      <c r="AN1122" s="319" t="str">
        <f ca="1">IFERROR(_xll.TR(MO.Ticker.Thomson,"AVG(TR.Priceclose)","sdate:#1 edate:#2",,INDEX(MO_SNA_FPStartDate,0,COLUMN()),INDEX(MO_Common_QEndDate,0,COLUMN())),"N/A")</f>
        <v>N/A</v>
      </c>
      <c r="AO1122" s="319" t="str">
        <f ca="1">IFERROR(_xll.TR(MO.Ticker.Thomson,"AVG(TR.Priceclose)","sdate:#1 edate:#2",,INDEX(MO_SNA_FPStartDate,0,COLUMN()),INDEX(MO_Common_QEndDate,0,COLUMN())),"N/A")</f>
        <v>N/A</v>
      </c>
      <c r="AP1122" s="319" t="str">
        <f ca="1">IFERROR(_xll.TR(MO.Ticker.Thomson,"AVG(TR.Priceclose)","sdate:#1 edate:#2",,INDEX(MO_SNA_FPStartDate,0,COLUMN()),INDEX(MO_Common_QEndDate,0,COLUMN())),"N/A")</f>
        <v>N/A</v>
      </c>
      <c r="AQ1122" s="319" t="str">
        <f ca="1">IFERROR(_xll.TR(MO.Ticker.Thomson,"AVG(TR.Priceclose)","sdate:#1 edate:#2",,INDEX(MO_SNA_FPStartDate,0,COLUMN()),INDEX(MO_Common_QEndDate,0,COLUMN())),"N/A")</f>
        <v>N/A</v>
      </c>
      <c r="AR1122" s="319" t="str">
        <f ca="1">IFERROR(_xll.TR(MO.Ticker.Thomson,"AVG(TR.Priceclose)","sdate:#1 edate:#2",,INDEX(MO_SNA_FPStartDate,0,COLUMN()),INDEX(MO_Common_QEndDate,0,COLUMN())),"N/A")</f>
        <v>N/A</v>
      </c>
      <c r="AS1122" s="319" t="str">
        <f ca="1">IFERROR(_xll.TR(MO.Ticker.Thomson,"AVG(TR.Priceclose)","sdate:#1 edate:#2",,INDEX(MO_SNA_FPStartDate,0,COLUMN()),INDEX(MO_Common_QEndDate,0,COLUMN())),"N/A")</f>
        <v>N/A</v>
      </c>
      <c r="AT1122" s="319" t="str">
        <f ca="1">IFERROR(_xll.TR(MO.Ticker.Thomson,"AVG(TR.Priceclose)","sdate:#1 edate:#2",,INDEX(MO_SNA_FPStartDate,0,COLUMN()),INDEX(MO_Common_QEndDate,0,COLUMN())),"N/A")</f>
        <v>N/A</v>
      </c>
      <c r="AU1122" s="319" t="str">
        <f ca="1">IFERROR(_xll.TR(MO.Ticker.Thomson,"AVG(TR.Priceclose)","sdate:#1 edate:#2",,INDEX(MO_SNA_FPStartDate,0,COLUMN()),INDEX(MO_Common_QEndDate,0,COLUMN())),"N/A")</f>
        <v>N/A</v>
      </c>
      <c r="AV1122" s="319" t="str">
        <f ca="1">IFERROR(_xll.TR(MO.Ticker.Thomson,"AVG(TR.Priceclose)","sdate:#1 edate:#2",,INDEX(MO_SNA_FPStartDate,0,COLUMN()),INDEX(MO_Common_QEndDate,0,COLUMN())),"N/A")</f>
        <v>N/A</v>
      </c>
      <c r="AW1122" s="319" t="str">
        <f ca="1">IFERROR(_xll.TR(MO.Ticker.Thomson,"AVG(TR.Priceclose)","sdate:#1 edate:#2",,INDEX(MO_SNA_FPStartDate,0,COLUMN()),INDEX(MO_Common_QEndDate,0,COLUMN())),"N/A")</f>
        <v>N/A</v>
      </c>
      <c r="AX1122" s="319" t="str">
        <f ca="1">IFERROR(_xll.TR(MO.Ticker.Thomson,"AVG(TR.Priceclose)","sdate:#1 edate:#2",,INDEX(MO_SNA_FPStartDate,0,COLUMN()),INDEX(MO_Common_QEndDate,0,COLUMN())),"N/A")</f>
        <v>N/A</v>
      </c>
      <c r="AY1122" s="319" t="str">
        <f ca="1">IFERROR(_xll.TR(MO.Ticker.Thomson,"AVG(TR.Priceclose)","sdate:#1 edate:#2",,INDEX(MO_SNA_FPStartDate,0,COLUMN()),INDEX(MO_Common_QEndDate,0,COLUMN())),"N/A")</f>
        <v>N/A</v>
      </c>
      <c r="AZ1122" s="319" t="str">
        <f ca="1">IFERROR(_xll.TR(MO.Ticker.Thomson,"AVG(TR.Priceclose)","sdate:#1 edate:#2",,INDEX(MO_SNA_FPStartDate,0,COLUMN()),INDEX(MO_Common_QEndDate,0,COLUMN())),"N/A")</f>
        <v>N/A</v>
      </c>
      <c r="BA1122" s="319" t="str">
        <f ca="1">IFERROR(_xll.TR(MO.Ticker.Thomson,"AVG(TR.Priceclose)","sdate:#1 edate:#2",,INDEX(MO_SNA_FPStartDate,0,COLUMN()),INDEX(MO_Common_QEndDate,0,COLUMN())),"N/A")</f>
        <v>N/A</v>
      </c>
      <c r="BB1122" s="319" t="str">
        <f ca="1">IFERROR(_xll.TR(MO.Ticker.Thomson,"AVG(TR.Priceclose)","sdate:#1 edate:#2",,INDEX(MO_SNA_FPStartDate,0,COLUMN()),INDEX(MO_Common_QEndDate,0,COLUMN())),"N/A")</f>
        <v>N/A</v>
      </c>
      <c r="BC1122" s="319" t="str">
        <f ca="1">IFERROR(_xll.TR(MO.Ticker.Thomson,"AVG(TR.Priceclose)","sdate:#1 edate:#2",,INDEX(MO_SNA_FPStartDate,0,COLUMN()),INDEX(MO_Common_QEndDate,0,COLUMN())),"N/A")</f>
        <v>N/A</v>
      </c>
      <c r="BD1122" s="319" t="str">
        <f ca="1">IFERROR(_xll.TR(MO.Ticker.Thomson,"AVG(TR.Priceclose)","sdate:#1 edate:#2",,INDEX(MO_SNA_FPStartDate,0,COLUMN()),INDEX(MO_Common_QEndDate,0,COLUMN())),"N/A")</f>
        <v>N/A</v>
      </c>
      <c r="BE1122" s="319" t="str">
        <f ca="1">IFERROR(_xll.TR(MO.Ticker.Thomson,"AVG(TR.Priceclose)","sdate:#1 edate:#2",,INDEX(MO_SNA_FPStartDate,0,COLUMN()),INDEX(MO_Common_QEndDate,0,COLUMN())),"N/A")</f>
        <v>N/A</v>
      </c>
      <c r="BF1122" s="319" t="str">
        <f ca="1">IFERROR(_xll.TR(MO.Ticker.Thomson,"AVG(TR.Priceclose)","sdate:#1 edate:#2",,INDEX(MO_SNA_FPStartDate,0,COLUMN()),INDEX(MO_Common_QEndDate,0,COLUMN())),"N/A")</f>
        <v>N/A</v>
      </c>
      <c r="BG1122" s="319" t="str">
        <f ca="1">IFERROR(_xll.TR(MO.Ticker.Thomson,"AVG(TR.Priceclose)","sdate:#1 edate:#2",,INDEX(MO_SNA_FPStartDate,0,COLUMN()),INDEX(MO_Common_QEndDate,0,COLUMN())),"N/A")</f>
        <v>N/A</v>
      </c>
      <c r="BH1122" s="454" t="str">
        <f ca="1">IFERROR(_xll.TR(MO.Ticker.Thomson,"AVG(TR.Priceclose)","sdate:#1 edate:#2",,INDEX(MO_SNA_FPStartDate,0,COLUMN()),INDEX(MO_Common_QEndDate,0,COLUMN())),"N/A")</f>
        <v>N/A</v>
      </c>
      <c r="BI1122" s="319" t="str">
        <f ca="1">IFERROR(_xll.TR(MO.Ticker.Thomson,"AVG(TR.Priceclose)","sdate:#1 edate:#2",,INDEX(MO_SNA_FPStartDate,0,COLUMN()),INDEX(MO_Common_QEndDate,0,COLUMN())),"N/A")</f>
        <v>N/A</v>
      </c>
      <c r="BJ1122" s="319" t="str">
        <f ca="1">IFERROR(_xll.TR(MO.Ticker.Thomson,"AVG(TR.Priceclose)","sdate:#1 edate:#2",,INDEX(MO_SNA_FPStartDate,0,COLUMN()),INDEX(MO_Common_QEndDate,0,COLUMN())),"N/A")</f>
        <v>N/A</v>
      </c>
      <c r="BK1122" s="319" t="str">
        <f ca="1">IFERROR(_xll.TR(MO.Ticker.Thomson,"AVG(TR.Priceclose)","sdate:#1 edate:#2",,INDEX(MO_SNA_FPStartDate,0,COLUMN()),INDEX(MO_Common_QEndDate,0,COLUMN())),"N/A")</f>
        <v>N/A</v>
      </c>
      <c r="BL1122" s="319" t="str">
        <f ca="1">IFERROR(_xll.TR(MO.Ticker.Thomson,"AVG(TR.Priceclose)","sdate:#1 edate:#2",,INDEX(MO_SNA_FPStartDate,0,COLUMN()),INDEX(MO_Common_QEndDate,0,COLUMN())),"N/A")</f>
        <v>N/A</v>
      </c>
      <c r="BM1122" s="319" t="str">
        <f ca="1">IFERROR(_xll.TR(MO.Ticker.Thomson,"AVG(TR.Priceclose)","sdate:#1 edate:#2",,INDEX(MO_SNA_FPStartDate,0,COLUMN()),INDEX(MO_Common_QEndDate,0,COLUMN())),"N/A")</f>
        <v>N/A</v>
      </c>
      <c r="BN1122" s="319" t="str">
        <f ca="1">IFERROR(_xll.TR(MO.Ticker.Thomson,"AVG(TR.Priceclose)","sdate:#1 edate:#2",,INDEX(MO_SNA_FPStartDate,0,COLUMN()),INDEX(MO_Common_QEndDate,0,COLUMN())),"N/A")</f>
        <v>N/A</v>
      </c>
      <c r="BO1122" s="319" t="str">
        <f ca="1">IFERROR(_xll.TR(MO.Ticker.Thomson,"AVG(TR.Priceclose)","sdate:#1 edate:#2",,INDEX(MO_SNA_FPStartDate,0,COLUMN()),INDEX(MO_Common_QEndDate,0,COLUMN())),"N/A")</f>
        <v>N/A</v>
      </c>
      <c r="BP1122" s="319" t="str">
        <f ca="1">IFERROR(_xll.TR(MO.Ticker.Thomson,"AVG(TR.Priceclose)","sdate:#1 edate:#2",,INDEX(MO_SNA_FPStartDate,0,COLUMN()),INDEX(MO_Common_QEndDate,0,COLUMN())),"N/A")</f>
        <v>N/A</v>
      </c>
      <c r="BQ1122" s="319" t="str">
        <f ca="1">IFERROR(_xll.TR(MO.Ticker.Thomson,"AVG(TR.Priceclose)","sdate:#1 edate:#2",,INDEX(MO_SNA_FPStartDate,0,COLUMN()),INDEX(MO_Common_QEndDate,0,COLUMN())),"N/A")</f>
        <v>N/A</v>
      </c>
      <c r="BR1122" s="321" t="str">
        <f ca="1">IFERROR(_xll.TR(MO.Ticker.Thomson,"AVG(TR.Priceclose)","sdate:#1 edate:#2",,INDEX(MO_SNA_FPStartDate,0,COLUMN()),INDEX(MO_Common_QEndDate,0,COLUMN())),"N/A")</f>
        <v>N/A</v>
      </c>
      <c r="BS1122" s="355"/>
    </row>
    <row r="1123" spans="1:71" s="22" customFormat="1" ht="15" hidden="1" outlineLevel="1">
      <c r="A1123" s="298"/>
      <c r="B1123" s="819"/>
      <c r="C1123" s="312"/>
      <c r="D1123" s="312"/>
      <c r="E1123" s="819"/>
      <c r="F1123" s="819"/>
      <c r="G1123" s="819"/>
      <c r="H1123" s="819"/>
      <c r="I1123" s="819"/>
      <c r="J1123" s="819"/>
      <c r="K1123" s="819"/>
      <c r="L1123" s="819"/>
      <c r="M1123" s="819"/>
      <c r="N1123" s="819"/>
      <c r="O1123" s="819"/>
      <c r="P1123" s="819"/>
      <c r="Q1123" s="819"/>
      <c r="R1123" s="819"/>
      <c r="S1123" s="819"/>
      <c r="T1123" s="819"/>
      <c r="U1123" s="819"/>
      <c r="V1123" s="819"/>
      <c r="W1123" s="819"/>
      <c r="X1123" s="819"/>
      <c r="Y1123" s="819"/>
      <c r="Z1123" s="819"/>
      <c r="AA1123" s="819"/>
      <c r="AB1123" s="819"/>
      <c r="AC1123" s="819"/>
      <c r="AD1123" s="819"/>
      <c r="AE1123" s="819"/>
      <c r="AF1123" s="819"/>
      <c r="AG1123" s="819"/>
      <c r="AH1123" s="819"/>
      <c r="AI1123" s="819"/>
      <c r="AJ1123" s="819"/>
      <c r="AK1123" s="819"/>
      <c r="AL1123" s="819"/>
      <c r="AM1123" s="819"/>
      <c r="AN1123" s="819"/>
      <c r="AO1123" s="819"/>
      <c r="AP1123" s="819"/>
      <c r="AQ1123" s="819"/>
      <c r="AR1123" s="819"/>
      <c r="AS1123" s="819"/>
      <c r="AT1123" s="819"/>
      <c r="AU1123" s="819"/>
      <c r="AV1123" s="819"/>
      <c r="AW1123" s="819"/>
      <c r="AX1123" s="819"/>
      <c r="AY1123" s="819"/>
      <c r="AZ1123" s="819"/>
      <c r="BA1123" s="819"/>
      <c r="BB1123" s="819"/>
      <c r="BC1123" s="819"/>
      <c r="BD1123" s="819"/>
      <c r="BE1123" s="819"/>
      <c r="BF1123" s="819"/>
      <c r="BG1123" s="819"/>
      <c r="BH1123" s="820"/>
      <c r="BI1123" s="819"/>
      <c r="BJ1123" s="819"/>
      <c r="BK1123" s="819"/>
      <c r="BL1123" s="819"/>
      <c r="BM1123" s="819"/>
      <c r="BN1123" s="819"/>
      <c r="BO1123" s="819"/>
      <c r="BP1123" s="819"/>
      <c r="BQ1123" s="819"/>
      <c r="BR1123" s="297"/>
      <c r="BS1123" s="351"/>
    </row>
    <row r="1124" spans="1:71" s="326" customFormat="1" ht="15" collapsed="1">
      <c r="A1124" s="324" t="str">
        <f ca="1">"FX Average: "&amp;IF(OR(MO.RealTimeStockPriceToggle=FALSE,VLOOKUP(MO.DataSourceName,MO_SPT_FXAverage_Sources,COLUMN()+2,FALSE)="N/A"),"Real-Time Off Source",MO.DataSourceName)</f>
        <v>FX Average: Real-Time Off Source</v>
      </c>
      <c r="B1124" s="602"/>
      <c r="C1124" s="601">
        <f ca="1" t="shared" si="2733" ref="C1124:AH1124">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D1124" s="601">
        <f t="shared" ca="1" si="2733"/>
        <v>1</v>
      </c>
      <c r="E1124" s="602">
        <f t="shared" ca="1" si="2733"/>
        <v>1</v>
      </c>
      <c r="F1124" s="602">
        <f t="shared" ca="1" si="2733"/>
        <v>1</v>
      </c>
      <c r="G1124" s="602">
        <f t="shared" ca="1" si="2733"/>
        <v>1</v>
      </c>
      <c r="H1124" s="602">
        <f t="shared" ca="1" si="2733"/>
        <v>1</v>
      </c>
      <c r="I1124" s="602">
        <f t="shared" ca="1" si="2733"/>
        <v>1</v>
      </c>
      <c r="J1124" s="602">
        <f t="shared" ca="1" si="2733"/>
        <v>1</v>
      </c>
      <c r="K1124" s="602">
        <f t="shared" ca="1" si="2733"/>
        <v>1</v>
      </c>
      <c r="L1124" s="602">
        <f t="shared" ca="1" si="2733"/>
        <v>1</v>
      </c>
      <c r="M1124" s="602">
        <f t="shared" ca="1" si="2733"/>
        <v>1</v>
      </c>
      <c r="N1124" s="602">
        <f t="shared" ca="1" si="2733"/>
        <v>1</v>
      </c>
      <c r="O1124" s="602">
        <f t="shared" ca="1" si="2733"/>
        <v>1</v>
      </c>
      <c r="P1124" s="602">
        <f t="shared" ca="1" si="2733"/>
        <v>1</v>
      </c>
      <c r="Q1124" s="602">
        <f t="shared" ca="1" si="2733"/>
        <v>1</v>
      </c>
      <c r="R1124" s="602">
        <f t="shared" ca="1" si="2733"/>
        <v>1</v>
      </c>
      <c r="S1124" s="602">
        <f t="shared" ca="1" si="2733"/>
        <v>1</v>
      </c>
      <c r="T1124" s="602">
        <f t="shared" ca="1" si="2733"/>
        <v>1</v>
      </c>
      <c r="U1124" s="602">
        <f t="shared" ca="1" si="2733"/>
        <v>1</v>
      </c>
      <c r="V1124" s="602">
        <f t="shared" ca="1" si="2733"/>
        <v>1</v>
      </c>
      <c r="W1124" s="602">
        <f t="shared" ca="1" si="2733"/>
        <v>1</v>
      </c>
      <c r="X1124" s="602">
        <f t="shared" ca="1" si="2733"/>
        <v>1</v>
      </c>
      <c r="Y1124" s="602">
        <f t="shared" ca="1" si="2733"/>
        <v>1</v>
      </c>
      <c r="Z1124" s="602">
        <f t="shared" ca="1" si="2733"/>
        <v>1</v>
      </c>
      <c r="AA1124" s="602">
        <f t="shared" ca="1" si="2733"/>
        <v>1</v>
      </c>
      <c r="AB1124" s="602">
        <f t="shared" ca="1" si="2733"/>
        <v>1</v>
      </c>
      <c r="AC1124" s="602">
        <f t="shared" ca="1" si="2733"/>
        <v>1</v>
      </c>
      <c r="AD1124" s="602">
        <f t="shared" ca="1" si="2733"/>
        <v>1</v>
      </c>
      <c r="AE1124" s="602">
        <f t="shared" ca="1" si="2733"/>
        <v>1</v>
      </c>
      <c r="AF1124" s="602">
        <f t="shared" ca="1" si="2733"/>
        <v>1</v>
      </c>
      <c r="AG1124" s="602">
        <f t="shared" ca="1" si="2733"/>
        <v>1</v>
      </c>
      <c r="AH1124" s="602">
        <f t="shared" ca="1" si="2733"/>
        <v>1</v>
      </c>
      <c r="AI1124" s="602">
        <f ca="1" t="shared" si="2734" ref="AI1124:BJ1124">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AJ1124" s="602">
        <f t="shared" ca="1" si="2734"/>
        <v>1</v>
      </c>
      <c r="AK1124" s="602">
        <f t="shared" ca="1" si="2734"/>
        <v>1</v>
      </c>
      <c r="AL1124" s="602">
        <f t="shared" ca="1" si="2734"/>
        <v>1</v>
      </c>
      <c r="AM1124" s="602">
        <f t="shared" ca="1" si="2734"/>
        <v>1</v>
      </c>
      <c r="AN1124" s="602">
        <f t="shared" ca="1" si="2734"/>
        <v>1</v>
      </c>
      <c r="AO1124" s="602">
        <f t="shared" ca="1" si="2734"/>
        <v>1</v>
      </c>
      <c r="AP1124" s="602">
        <f t="shared" ca="1" si="2734"/>
        <v>1</v>
      </c>
      <c r="AQ1124" s="602">
        <f t="shared" ca="1" si="2734"/>
        <v>1</v>
      </c>
      <c r="AR1124" s="602">
        <f t="shared" ca="1" si="2734"/>
        <v>1</v>
      </c>
      <c r="AS1124" s="602">
        <f t="shared" ca="1" si="2734"/>
        <v>1</v>
      </c>
      <c r="AT1124" s="602">
        <f t="shared" ca="1" si="2734"/>
        <v>1</v>
      </c>
      <c r="AU1124" s="602">
        <f t="shared" ca="1" si="2734"/>
        <v>1</v>
      </c>
      <c r="AV1124" s="602">
        <f t="shared" ca="1" si="2734"/>
        <v>1</v>
      </c>
      <c r="AW1124" s="602">
        <f t="shared" ca="1" si="2734"/>
        <v>1</v>
      </c>
      <c r="AX1124" s="602">
        <f t="shared" ca="1" si="2734"/>
        <v>1</v>
      </c>
      <c r="AY1124" s="602">
        <f t="shared" ca="1" si="2734"/>
        <v>1</v>
      </c>
      <c r="AZ1124" s="602">
        <f t="shared" ca="1" si="2734"/>
        <v>1</v>
      </c>
      <c r="BA1124" s="602">
        <f ca="1" t="shared" si="2735" ref="BA1124:BI1124">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B1124" s="602">
        <f t="shared" ca="1" si="2735"/>
        <v>1</v>
      </c>
      <c r="BC1124" s="602">
        <f t="shared" ca="1" si="2735"/>
        <v>1</v>
      </c>
      <c r="BD1124" s="602">
        <f t="shared" ca="1" si="2735"/>
        <v>1</v>
      </c>
      <c r="BE1124" s="602">
        <f t="shared" ca="1" si="2735"/>
        <v>1</v>
      </c>
      <c r="BF1124" s="602">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G1124" s="602">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H1124" s="603">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I1124" s="602">
        <f t="shared" ca="1" si="2735"/>
        <v>1</v>
      </c>
      <c r="BJ1124" s="602">
        <f t="shared" ca="1" si="2734"/>
        <v>1</v>
      </c>
      <c r="BK1124" s="602">
        <f ca="1" t="shared" si="2736" ref="BK1124:BR1124">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L1124" s="602">
        <f t="shared" ca="1" si="2736"/>
        <v>1</v>
      </c>
      <c r="BM1124" s="602">
        <f t="shared" ca="1" si="2736"/>
        <v>1</v>
      </c>
      <c r="BN1124" s="602">
        <f t="shared" ca="1" si="2736"/>
        <v>1</v>
      </c>
      <c r="BO1124" s="602">
        <f t="shared" ca="1" si="2736"/>
        <v>1</v>
      </c>
      <c r="BP1124" s="602">
        <f t="shared" ca="1" si="2736"/>
        <v>1</v>
      </c>
      <c r="BQ1124" s="602">
        <f t="shared" ca="1" si="2736"/>
        <v>1</v>
      </c>
      <c r="BR1124" s="604">
        <f t="shared" ca="1" si="2736"/>
        <v>1</v>
      </c>
      <c r="BS1124" s="356"/>
    </row>
    <row r="1125" spans="1:71" s="326" customFormat="1" ht="15" hidden="1" outlineLevel="1">
      <c r="A1125" s="327" t="s">
        <v>242</v>
      </c>
      <c r="B1125" s="602"/>
      <c r="C1125" s="958">
        <v>1</v>
      </c>
      <c r="D1125" s="958">
        <v>1</v>
      </c>
      <c r="E1125" s="959">
        <v>1</v>
      </c>
      <c r="F1125" s="959">
        <v>1</v>
      </c>
      <c r="G1125" s="959">
        <v>1</v>
      </c>
      <c r="H1125" s="959">
        <v>1</v>
      </c>
      <c r="I1125" s="959">
        <v>1</v>
      </c>
      <c r="J1125" s="959">
        <v>1</v>
      </c>
      <c r="K1125" s="959">
        <v>1</v>
      </c>
      <c r="L1125" s="959">
        <v>1</v>
      </c>
      <c r="M1125" s="959">
        <v>1</v>
      </c>
      <c r="N1125" s="959">
        <v>1</v>
      </c>
      <c r="O1125" s="959">
        <v>1</v>
      </c>
      <c r="P1125" s="959">
        <v>1</v>
      </c>
      <c r="Q1125" s="959">
        <v>1</v>
      </c>
      <c r="R1125" s="959">
        <v>1</v>
      </c>
      <c r="S1125" s="959">
        <v>1</v>
      </c>
      <c r="T1125" s="959">
        <v>1</v>
      </c>
      <c r="U1125" s="959">
        <v>1</v>
      </c>
      <c r="V1125" s="959">
        <v>1</v>
      </c>
      <c r="W1125" s="959">
        <v>1</v>
      </c>
      <c r="X1125" s="959">
        <v>1</v>
      </c>
      <c r="Y1125" s="959">
        <v>1</v>
      </c>
      <c r="Z1125" s="959">
        <v>1</v>
      </c>
      <c r="AA1125" s="959">
        <v>1</v>
      </c>
      <c r="AB1125" s="959">
        <v>1</v>
      </c>
      <c r="AC1125" s="959">
        <v>1</v>
      </c>
      <c r="AD1125" s="959">
        <v>1</v>
      </c>
      <c r="AE1125" s="959">
        <v>1</v>
      </c>
      <c r="AF1125" s="959">
        <v>1</v>
      </c>
      <c r="AG1125" s="959">
        <v>1</v>
      </c>
      <c r="AH1125" s="959">
        <v>1</v>
      </c>
      <c r="AI1125" s="959">
        <v>1</v>
      </c>
      <c r="AJ1125" s="959">
        <v>1</v>
      </c>
      <c r="AK1125" s="959">
        <v>1</v>
      </c>
      <c r="AL1125" s="959">
        <v>1</v>
      </c>
      <c r="AM1125" s="959">
        <v>1</v>
      </c>
      <c r="AN1125" s="959">
        <v>1</v>
      </c>
      <c r="AO1125" s="959">
        <v>1</v>
      </c>
      <c r="AP1125" s="959">
        <v>1</v>
      </c>
      <c r="AQ1125" s="959">
        <v>1</v>
      </c>
      <c r="AR1125" s="959">
        <v>1</v>
      </c>
      <c r="AS1125" s="959">
        <v>1</v>
      </c>
      <c r="AT1125" s="959">
        <v>1</v>
      </c>
      <c r="AU1125" s="959">
        <v>1</v>
      </c>
      <c r="AV1125" s="959">
        <v>1</v>
      </c>
      <c r="AW1125" s="959">
        <v>1</v>
      </c>
      <c r="AX1125" s="959">
        <v>1</v>
      </c>
      <c r="AY1125" s="959">
        <v>1</v>
      </c>
      <c r="AZ1125" s="959">
        <v>1</v>
      </c>
      <c r="BA1125" s="959">
        <v>1</v>
      </c>
      <c r="BB1125" s="959">
        <v>1</v>
      </c>
      <c r="BC1125" s="959">
        <v>1</v>
      </c>
      <c r="BD1125" s="959">
        <v>1</v>
      </c>
      <c r="BE1125" s="959">
        <v>1</v>
      </c>
      <c r="BF1125" s="959">
        <v>1</v>
      </c>
      <c r="BG1125" s="959">
        <v>1</v>
      </c>
      <c r="BH1125" s="960">
        <v>1</v>
      </c>
      <c r="BI1125" s="602">
        <f t="shared" si="2737" ref="BI1125:BR1125">MO.MRFX.Hardcoded</f>
        <v>1</v>
      </c>
      <c r="BJ1125" s="602">
        <f t="shared" si="2737"/>
        <v>1</v>
      </c>
      <c r="BK1125" s="602">
        <f t="shared" si="2737"/>
        <v>1</v>
      </c>
      <c r="BL1125" s="602">
        <f t="shared" si="2737"/>
        <v>1</v>
      </c>
      <c r="BM1125" s="602">
        <f t="shared" si="2737"/>
        <v>1</v>
      </c>
      <c r="BN1125" s="602">
        <f t="shared" si="2737"/>
        <v>1</v>
      </c>
      <c r="BO1125" s="602">
        <f t="shared" si="2737"/>
        <v>1</v>
      </c>
      <c r="BP1125" s="602">
        <f t="shared" si="2737"/>
        <v>1</v>
      </c>
      <c r="BQ1125" s="602">
        <f t="shared" si="2737"/>
        <v>1</v>
      </c>
      <c r="BR1125" s="604">
        <f t="shared" si="2737"/>
        <v>1</v>
      </c>
      <c r="BS1125" s="356"/>
    </row>
    <row r="1126" spans="1:71" s="326" customFormat="1" ht="15" hidden="1" outlineLevel="1">
      <c r="A1126" s="327" t="s">
        <v>7</v>
      </c>
      <c r="B1126" s="602"/>
      <c r="C1126"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D1126"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E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F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G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H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I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J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K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L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M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N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O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P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Q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R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S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T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U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V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W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X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Y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Z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A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B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C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D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E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F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G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H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I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J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K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L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M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N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O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P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Q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R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S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T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U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V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W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X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Y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Z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A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B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C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D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E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F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G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H1126" s="60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I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J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K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L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M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N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O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P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Q1126"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R1126" s="60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S1126" s="356"/>
    </row>
    <row r="1127" spans="1:71" s="326" customFormat="1" ht="15" hidden="1" outlineLevel="1">
      <c r="A1127" s="327" t="s">
        <v>243</v>
      </c>
      <c r="B1127" s="602"/>
      <c r="C1127" s="601" t="str">
        <f ca="1">IFERROR(IF(INDEX(MO_Common_QEndDate,0,COLUMN())&gt;TODAY(),CIQ("$"&amp;HP.TradeCurrency&amp;MO.ReportCurrency,"IQ_LASTSALEPRICE"),CIQAVG("$"&amp;HP.TradeCurrency&amp;MO.ReportCurrency,"IQ_LASTSALEPRICE",INDEX(MO_SNA_FPStartDate,0,COLUMN()),INDEX(MO_Common_QEndDate,0,COLUMN()))),"N/A")</f>
        <v>N/A</v>
      </c>
      <c r="D1127" s="601" t="str">
        <f ca="1">IFERROR(IF(INDEX(MO_Common_QEndDate,0,COLUMN())&gt;TODAY(),CIQ("$"&amp;HP.TradeCurrency&amp;MO.ReportCurrency,"IQ_LASTSALEPRICE"),CIQAVG("$"&amp;HP.TradeCurrency&amp;MO.ReportCurrency,"IQ_LASTSALEPRICE",INDEX(MO_SNA_FPStartDate,0,COLUMN()),INDEX(MO_Common_QEndDate,0,COLUMN()))),"N/A")</f>
        <v>N/A</v>
      </c>
      <c r="E1127" s="602" t="str">
        <f ca="1">IFERROR(IF(INDEX(MO_Common_QEndDate,0,COLUMN())&gt;TODAY(),CIQ("$"&amp;HP.TradeCurrency&amp;MO.ReportCurrency,"IQ_LASTSALEPRICE"),CIQAVG("$"&amp;HP.TradeCurrency&amp;MO.ReportCurrency,"IQ_LASTSALEPRICE",INDEX(MO_SNA_FPStartDate,0,COLUMN()),INDEX(MO_Common_QEndDate,0,COLUMN()))),"N/A")</f>
        <v>N/A</v>
      </c>
      <c r="F1127" s="602" t="str">
        <f ca="1">IFERROR(IF(INDEX(MO_Common_QEndDate,0,COLUMN())&gt;TODAY(),CIQ("$"&amp;HP.TradeCurrency&amp;MO.ReportCurrency,"IQ_LASTSALEPRICE"),CIQAVG("$"&amp;HP.TradeCurrency&amp;MO.ReportCurrency,"IQ_LASTSALEPRICE",INDEX(MO_SNA_FPStartDate,0,COLUMN()),INDEX(MO_Common_QEndDate,0,COLUMN()))),"N/A")</f>
        <v>N/A</v>
      </c>
      <c r="G1127" s="602" t="str">
        <f ca="1">IFERROR(IF(INDEX(MO_Common_QEndDate,0,COLUMN())&gt;TODAY(),CIQ("$"&amp;HP.TradeCurrency&amp;MO.ReportCurrency,"IQ_LASTSALEPRICE"),CIQAVG("$"&amp;HP.TradeCurrency&amp;MO.ReportCurrency,"IQ_LASTSALEPRICE",INDEX(MO_SNA_FPStartDate,0,COLUMN()),INDEX(MO_Common_QEndDate,0,COLUMN()))),"N/A")</f>
        <v>N/A</v>
      </c>
      <c r="H1127" s="602" t="str">
        <f ca="1">IFERROR(IF(INDEX(MO_Common_QEndDate,0,COLUMN())&gt;TODAY(),CIQ("$"&amp;HP.TradeCurrency&amp;MO.ReportCurrency,"IQ_LASTSALEPRICE"),CIQAVG("$"&amp;HP.TradeCurrency&amp;MO.ReportCurrency,"IQ_LASTSALEPRICE",INDEX(MO_SNA_FPStartDate,0,COLUMN()),INDEX(MO_Common_QEndDate,0,COLUMN()))),"N/A")</f>
        <v>N/A</v>
      </c>
      <c r="I1127" s="602" t="str">
        <f ca="1">IFERROR(IF(INDEX(MO_Common_QEndDate,0,COLUMN())&gt;TODAY(),CIQ("$"&amp;HP.TradeCurrency&amp;MO.ReportCurrency,"IQ_LASTSALEPRICE"),CIQAVG("$"&amp;HP.TradeCurrency&amp;MO.ReportCurrency,"IQ_LASTSALEPRICE",INDEX(MO_SNA_FPStartDate,0,COLUMN()),INDEX(MO_Common_QEndDate,0,COLUMN()))),"N/A")</f>
        <v>N/A</v>
      </c>
      <c r="J1127" s="602" t="str">
        <f ca="1">IFERROR(IF(INDEX(MO_Common_QEndDate,0,COLUMN())&gt;TODAY(),CIQ("$"&amp;HP.TradeCurrency&amp;MO.ReportCurrency,"IQ_LASTSALEPRICE"),CIQAVG("$"&amp;HP.TradeCurrency&amp;MO.ReportCurrency,"IQ_LASTSALEPRICE",INDEX(MO_SNA_FPStartDate,0,COLUMN()),INDEX(MO_Common_QEndDate,0,COLUMN()))),"N/A")</f>
        <v>N/A</v>
      </c>
      <c r="K1127" s="602" t="str">
        <f ca="1">IFERROR(IF(INDEX(MO_Common_QEndDate,0,COLUMN())&gt;TODAY(),CIQ("$"&amp;HP.TradeCurrency&amp;MO.ReportCurrency,"IQ_LASTSALEPRICE"),CIQAVG("$"&amp;HP.TradeCurrency&amp;MO.ReportCurrency,"IQ_LASTSALEPRICE",INDEX(MO_SNA_FPStartDate,0,COLUMN()),INDEX(MO_Common_QEndDate,0,COLUMN()))),"N/A")</f>
        <v>N/A</v>
      </c>
      <c r="L1127" s="602" t="str">
        <f ca="1">IFERROR(IF(INDEX(MO_Common_QEndDate,0,COLUMN())&gt;TODAY(),CIQ("$"&amp;HP.TradeCurrency&amp;MO.ReportCurrency,"IQ_LASTSALEPRICE"),CIQAVG("$"&amp;HP.TradeCurrency&amp;MO.ReportCurrency,"IQ_LASTSALEPRICE",INDEX(MO_SNA_FPStartDate,0,COLUMN()),INDEX(MO_Common_QEndDate,0,COLUMN()))),"N/A")</f>
        <v>N/A</v>
      </c>
      <c r="M1127" s="602" t="str">
        <f ca="1">IFERROR(IF(INDEX(MO_Common_QEndDate,0,COLUMN())&gt;TODAY(),CIQ("$"&amp;HP.TradeCurrency&amp;MO.ReportCurrency,"IQ_LASTSALEPRICE"),CIQAVG("$"&amp;HP.TradeCurrency&amp;MO.ReportCurrency,"IQ_LASTSALEPRICE",INDEX(MO_SNA_FPStartDate,0,COLUMN()),INDEX(MO_Common_QEndDate,0,COLUMN()))),"N/A")</f>
        <v>N/A</v>
      </c>
      <c r="N1127" s="602" t="str">
        <f ca="1">IFERROR(IF(INDEX(MO_Common_QEndDate,0,COLUMN())&gt;TODAY(),CIQ("$"&amp;HP.TradeCurrency&amp;MO.ReportCurrency,"IQ_LASTSALEPRICE"),CIQAVG("$"&amp;HP.TradeCurrency&amp;MO.ReportCurrency,"IQ_LASTSALEPRICE",INDEX(MO_SNA_FPStartDate,0,COLUMN()),INDEX(MO_Common_QEndDate,0,COLUMN()))),"N/A")</f>
        <v>N/A</v>
      </c>
      <c r="O1127" s="602" t="str">
        <f ca="1">IFERROR(IF(INDEX(MO_Common_QEndDate,0,COLUMN())&gt;TODAY(),CIQ("$"&amp;HP.TradeCurrency&amp;MO.ReportCurrency,"IQ_LASTSALEPRICE"),CIQAVG("$"&amp;HP.TradeCurrency&amp;MO.ReportCurrency,"IQ_LASTSALEPRICE",INDEX(MO_SNA_FPStartDate,0,COLUMN()),INDEX(MO_Common_QEndDate,0,COLUMN()))),"N/A")</f>
        <v>N/A</v>
      </c>
      <c r="P1127" s="602" t="str">
        <f ca="1">IFERROR(IF(INDEX(MO_Common_QEndDate,0,COLUMN())&gt;TODAY(),CIQ("$"&amp;HP.TradeCurrency&amp;MO.ReportCurrency,"IQ_LASTSALEPRICE"),CIQAVG("$"&amp;HP.TradeCurrency&amp;MO.ReportCurrency,"IQ_LASTSALEPRICE",INDEX(MO_SNA_FPStartDate,0,COLUMN()),INDEX(MO_Common_QEndDate,0,COLUMN()))),"N/A")</f>
        <v>N/A</v>
      </c>
      <c r="Q1127" s="602" t="str">
        <f ca="1">IFERROR(IF(INDEX(MO_Common_QEndDate,0,COLUMN())&gt;TODAY(),CIQ("$"&amp;HP.TradeCurrency&amp;MO.ReportCurrency,"IQ_LASTSALEPRICE"),CIQAVG("$"&amp;HP.TradeCurrency&amp;MO.ReportCurrency,"IQ_LASTSALEPRICE",INDEX(MO_SNA_FPStartDate,0,COLUMN()),INDEX(MO_Common_QEndDate,0,COLUMN()))),"N/A")</f>
        <v>N/A</v>
      </c>
      <c r="R1127" s="602" t="str">
        <f ca="1">IFERROR(IF(INDEX(MO_Common_QEndDate,0,COLUMN())&gt;TODAY(),CIQ("$"&amp;HP.TradeCurrency&amp;MO.ReportCurrency,"IQ_LASTSALEPRICE"),CIQAVG("$"&amp;HP.TradeCurrency&amp;MO.ReportCurrency,"IQ_LASTSALEPRICE",INDEX(MO_SNA_FPStartDate,0,COLUMN()),INDEX(MO_Common_QEndDate,0,COLUMN()))),"N/A")</f>
        <v>N/A</v>
      </c>
      <c r="S1127" s="602" t="str">
        <f ca="1">IFERROR(IF(INDEX(MO_Common_QEndDate,0,COLUMN())&gt;TODAY(),CIQ("$"&amp;HP.TradeCurrency&amp;MO.ReportCurrency,"IQ_LASTSALEPRICE"),CIQAVG("$"&amp;HP.TradeCurrency&amp;MO.ReportCurrency,"IQ_LASTSALEPRICE",INDEX(MO_SNA_FPStartDate,0,COLUMN()),INDEX(MO_Common_QEndDate,0,COLUMN()))),"N/A")</f>
        <v>N/A</v>
      </c>
      <c r="T1127" s="602" t="str">
        <f ca="1">IFERROR(IF(INDEX(MO_Common_QEndDate,0,COLUMN())&gt;TODAY(),CIQ("$"&amp;HP.TradeCurrency&amp;MO.ReportCurrency,"IQ_LASTSALEPRICE"),CIQAVG("$"&amp;HP.TradeCurrency&amp;MO.ReportCurrency,"IQ_LASTSALEPRICE",INDEX(MO_SNA_FPStartDate,0,COLUMN()),INDEX(MO_Common_QEndDate,0,COLUMN()))),"N/A")</f>
        <v>N/A</v>
      </c>
      <c r="U1127" s="602" t="str">
        <f ca="1">IFERROR(IF(INDEX(MO_Common_QEndDate,0,COLUMN())&gt;TODAY(),CIQ("$"&amp;HP.TradeCurrency&amp;MO.ReportCurrency,"IQ_LASTSALEPRICE"),CIQAVG("$"&amp;HP.TradeCurrency&amp;MO.ReportCurrency,"IQ_LASTSALEPRICE",INDEX(MO_SNA_FPStartDate,0,COLUMN()),INDEX(MO_Common_QEndDate,0,COLUMN()))),"N/A")</f>
        <v>N/A</v>
      </c>
      <c r="V1127" s="602" t="str">
        <f ca="1">IFERROR(IF(INDEX(MO_Common_QEndDate,0,COLUMN())&gt;TODAY(),CIQ("$"&amp;HP.TradeCurrency&amp;MO.ReportCurrency,"IQ_LASTSALEPRICE"),CIQAVG("$"&amp;HP.TradeCurrency&amp;MO.ReportCurrency,"IQ_LASTSALEPRICE",INDEX(MO_SNA_FPStartDate,0,COLUMN()),INDEX(MO_Common_QEndDate,0,COLUMN()))),"N/A")</f>
        <v>N/A</v>
      </c>
      <c r="W1127" s="602" t="str">
        <f ca="1">IFERROR(IF(INDEX(MO_Common_QEndDate,0,COLUMN())&gt;TODAY(),CIQ("$"&amp;HP.TradeCurrency&amp;MO.ReportCurrency,"IQ_LASTSALEPRICE"),CIQAVG("$"&amp;HP.TradeCurrency&amp;MO.ReportCurrency,"IQ_LASTSALEPRICE",INDEX(MO_SNA_FPStartDate,0,COLUMN()),INDEX(MO_Common_QEndDate,0,COLUMN()))),"N/A")</f>
        <v>N/A</v>
      </c>
      <c r="X1127" s="602" t="str">
        <f ca="1">IFERROR(IF(INDEX(MO_Common_QEndDate,0,COLUMN())&gt;TODAY(),CIQ("$"&amp;HP.TradeCurrency&amp;MO.ReportCurrency,"IQ_LASTSALEPRICE"),CIQAVG("$"&amp;HP.TradeCurrency&amp;MO.ReportCurrency,"IQ_LASTSALEPRICE",INDEX(MO_SNA_FPStartDate,0,COLUMN()),INDEX(MO_Common_QEndDate,0,COLUMN()))),"N/A")</f>
        <v>N/A</v>
      </c>
      <c r="Y1127" s="602" t="str">
        <f ca="1">IFERROR(IF(INDEX(MO_Common_QEndDate,0,COLUMN())&gt;TODAY(),CIQ("$"&amp;HP.TradeCurrency&amp;MO.ReportCurrency,"IQ_LASTSALEPRICE"),CIQAVG("$"&amp;HP.TradeCurrency&amp;MO.ReportCurrency,"IQ_LASTSALEPRICE",INDEX(MO_SNA_FPStartDate,0,COLUMN()),INDEX(MO_Common_QEndDate,0,COLUMN()))),"N/A")</f>
        <v>N/A</v>
      </c>
      <c r="Z1127" s="602" t="str">
        <f ca="1">IFERROR(IF(INDEX(MO_Common_QEndDate,0,COLUMN())&gt;TODAY(),CIQ("$"&amp;HP.TradeCurrency&amp;MO.ReportCurrency,"IQ_LASTSALEPRICE"),CIQAVG("$"&amp;HP.TradeCurrency&amp;MO.ReportCurrency,"IQ_LASTSALEPRICE",INDEX(MO_SNA_FPStartDate,0,COLUMN()),INDEX(MO_Common_QEndDate,0,COLUMN()))),"N/A")</f>
        <v>N/A</v>
      </c>
      <c r="AA1127" s="602" t="str">
        <f ca="1">IFERROR(IF(INDEX(MO_Common_QEndDate,0,COLUMN())&gt;TODAY(),CIQ("$"&amp;HP.TradeCurrency&amp;MO.ReportCurrency,"IQ_LASTSALEPRICE"),CIQAVG("$"&amp;HP.TradeCurrency&amp;MO.ReportCurrency,"IQ_LASTSALEPRICE",INDEX(MO_SNA_FPStartDate,0,COLUMN()),INDEX(MO_Common_QEndDate,0,COLUMN()))),"N/A")</f>
        <v>N/A</v>
      </c>
      <c r="AB1127" s="602" t="str">
        <f ca="1">IFERROR(IF(INDEX(MO_Common_QEndDate,0,COLUMN())&gt;TODAY(),CIQ("$"&amp;HP.TradeCurrency&amp;MO.ReportCurrency,"IQ_LASTSALEPRICE"),CIQAVG("$"&amp;HP.TradeCurrency&amp;MO.ReportCurrency,"IQ_LASTSALEPRICE",INDEX(MO_SNA_FPStartDate,0,COLUMN()),INDEX(MO_Common_QEndDate,0,COLUMN()))),"N/A")</f>
        <v>N/A</v>
      </c>
      <c r="AC1127" s="602" t="str">
        <f ca="1">IFERROR(IF(INDEX(MO_Common_QEndDate,0,COLUMN())&gt;TODAY(),CIQ("$"&amp;HP.TradeCurrency&amp;MO.ReportCurrency,"IQ_LASTSALEPRICE"),CIQAVG("$"&amp;HP.TradeCurrency&amp;MO.ReportCurrency,"IQ_LASTSALEPRICE",INDEX(MO_SNA_FPStartDate,0,COLUMN()),INDEX(MO_Common_QEndDate,0,COLUMN()))),"N/A")</f>
        <v>N/A</v>
      </c>
      <c r="AD1127" s="602" t="str">
        <f ca="1">IFERROR(IF(INDEX(MO_Common_QEndDate,0,COLUMN())&gt;TODAY(),CIQ("$"&amp;HP.TradeCurrency&amp;MO.ReportCurrency,"IQ_LASTSALEPRICE"),CIQAVG("$"&amp;HP.TradeCurrency&amp;MO.ReportCurrency,"IQ_LASTSALEPRICE",INDEX(MO_SNA_FPStartDate,0,COLUMN()),INDEX(MO_Common_QEndDate,0,COLUMN()))),"N/A")</f>
        <v>N/A</v>
      </c>
      <c r="AE1127" s="602" t="str">
        <f ca="1">IFERROR(IF(INDEX(MO_Common_QEndDate,0,COLUMN())&gt;TODAY(),CIQ("$"&amp;HP.TradeCurrency&amp;MO.ReportCurrency,"IQ_LASTSALEPRICE"),CIQAVG("$"&amp;HP.TradeCurrency&amp;MO.ReportCurrency,"IQ_LASTSALEPRICE",INDEX(MO_SNA_FPStartDate,0,COLUMN()),INDEX(MO_Common_QEndDate,0,COLUMN()))),"N/A")</f>
        <v>N/A</v>
      </c>
      <c r="AF1127" s="602" t="str">
        <f ca="1">IFERROR(IF(INDEX(MO_Common_QEndDate,0,COLUMN())&gt;TODAY(),CIQ("$"&amp;HP.TradeCurrency&amp;MO.ReportCurrency,"IQ_LASTSALEPRICE"),CIQAVG("$"&amp;HP.TradeCurrency&amp;MO.ReportCurrency,"IQ_LASTSALEPRICE",INDEX(MO_SNA_FPStartDate,0,COLUMN()),INDEX(MO_Common_QEndDate,0,COLUMN()))),"N/A")</f>
        <v>N/A</v>
      </c>
      <c r="AG1127" s="602" t="str">
        <f ca="1">IFERROR(IF(INDEX(MO_Common_QEndDate,0,COLUMN())&gt;TODAY(),CIQ("$"&amp;HP.TradeCurrency&amp;MO.ReportCurrency,"IQ_LASTSALEPRICE"),CIQAVG("$"&amp;HP.TradeCurrency&amp;MO.ReportCurrency,"IQ_LASTSALEPRICE",INDEX(MO_SNA_FPStartDate,0,COLUMN()),INDEX(MO_Common_QEndDate,0,COLUMN()))),"N/A")</f>
        <v>N/A</v>
      </c>
      <c r="AH1127" s="602" t="str">
        <f ca="1">IFERROR(IF(INDEX(MO_Common_QEndDate,0,COLUMN())&gt;TODAY(),CIQ("$"&amp;HP.TradeCurrency&amp;MO.ReportCurrency,"IQ_LASTSALEPRICE"),CIQAVG("$"&amp;HP.TradeCurrency&amp;MO.ReportCurrency,"IQ_LASTSALEPRICE",INDEX(MO_SNA_FPStartDate,0,COLUMN()),INDEX(MO_Common_QEndDate,0,COLUMN()))),"N/A")</f>
        <v>N/A</v>
      </c>
      <c r="AI1127" s="602" t="str">
        <f ca="1">IFERROR(IF(INDEX(MO_Common_QEndDate,0,COLUMN())&gt;TODAY(),CIQ("$"&amp;HP.TradeCurrency&amp;MO.ReportCurrency,"IQ_LASTSALEPRICE"),CIQAVG("$"&amp;HP.TradeCurrency&amp;MO.ReportCurrency,"IQ_LASTSALEPRICE",INDEX(MO_SNA_FPStartDate,0,COLUMN()),INDEX(MO_Common_QEndDate,0,COLUMN()))),"N/A")</f>
        <v>N/A</v>
      </c>
      <c r="AJ1127" s="602" t="str">
        <f ca="1">IFERROR(IF(INDEX(MO_Common_QEndDate,0,COLUMN())&gt;TODAY(),CIQ("$"&amp;HP.TradeCurrency&amp;MO.ReportCurrency,"IQ_LASTSALEPRICE"),CIQAVG("$"&amp;HP.TradeCurrency&amp;MO.ReportCurrency,"IQ_LASTSALEPRICE",INDEX(MO_SNA_FPStartDate,0,COLUMN()),INDEX(MO_Common_QEndDate,0,COLUMN()))),"N/A")</f>
        <v>N/A</v>
      </c>
      <c r="AK1127" s="602" t="str">
        <f ca="1">IFERROR(IF(INDEX(MO_Common_QEndDate,0,COLUMN())&gt;TODAY(),CIQ("$"&amp;HP.TradeCurrency&amp;MO.ReportCurrency,"IQ_LASTSALEPRICE"),CIQAVG("$"&amp;HP.TradeCurrency&amp;MO.ReportCurrency,"IQ_LASTSALEPRICE",INDEX(MO_SNA_FPStartDate,0,COLUMN()),INDEX(MO_Common_QEndDate,0,COLUMN()))),"N/A")</f>
        <v>N/A</v>
      </c>
      <c r="AL1127" s="602" t="str">
        <f ca="1">IFERROR(IF(INDEX(MO_Common_QEndDate,0,COLUMN())&gt;TODAY(),CIQ("$"&amp;HP.TradeCurrency&amp;MO.ReportCurrency,"IQ_LASTSALEPRICE"),CIQAVG("$"&amp;HP.TradeCurrency&amp;MO.ReportCurrency,"IQ_LASTSALEPRICE",INDEX(MO_SNA_FPStartDate,0,COLUMN()),INDEX(MO_Common_QEndDate,0,COLUMN()))),"N/A")</f>
        <v>N/A</v>
      </c>
      <c r="AM1127" s="602" t="str">
        <f ca="1">IFERROR(IF(INDEX(MO_Common_QEndDate,0,COLUMN())&gt;TODAY(),CIQ("$"&amp;HP.TradeCurrency&amp;MO.ReportCurrency,"IQ_LASTSALEPRICE"),CIQAVG("$"&amp;HP.TradeCurrency&amp;MO.ReportCurrency,"IQ_LASTSALEPRICE",INDEX(MO_SNA_FPStartDate,0,COLUMN()),INDEX(MO_Common_QEndDate,0,COLUMN()))),"N/A")</f>
        <v>N/A</v>
      </c>
      <c r="AN1127" s="602" t="str">
        <f ca="1">IFERROR(IF(INDEX(MO_Common_QEndDate,0,COLUMN())&gt;TODAY(),CIQ("$"&amp;HP.TradeCurrency&amp;MO.ReportCurrency,"IQ_LASTSALEPRICE"),CIQAVG("$"&amp;HP.TradeCurrency&amp;MO.ReportCurrency,"IQ_LASTSALEPRICE",INDEX(MO_SNA_FPStartDate,0,COLUMN()),INDEX(MO_Common_QEndDate,0,COLUMN()))),"N/A")</f>
        <v>N/A</v>
      </c>
      <c r="AO1127" s="602" t="str">
        <f ca="1">IFERROR(IF(INDEX(MO_Common_QEndDate,0,COLUMN())&gt;TODAY(),CIQ("$"&amp;HP.TradeCurrency&amp;MO.ReportCurrency,"IQ_LASTSALEPRICE"),CIQAVG("$"&amp;HP.TradeCurrency&amp;MO.ReportCurrency,"IQ_LASTSALEPRICE",INDEX(MO_SNA_FPStartDate,0,COLUMN()),INDEX(MO_Common_QEndDate,0,COLUMN()))),"N/A")</f>
        <v>N/A</v>
      </c>
      <c r="AP1127" s="602" t="str">
        <f ca="1">IFERROR(IF(INDEX(MO_Common_QEndDate,0,COLUMN())&gt;TODAY(),CIQ("$"&amp;HP.TradeCurrency&amp;MO.ReportCurrency,"IQ_LASTSALEPRICE"),CIQAVG("$"&amp;HP.TradeCurrency&amp;MO.ReportCurrency,"IQ_LASTSALEPRICE",INDEX(MO_SNA_FPStartDate,0,COLUMN()),INDEX(MO_Common_QEndDate,0,COLUMN()))),"N/A")</f>
        <v>N/A</v>
      </c>
      <c r="AQ1127" s="602" t="str">
        <f ca="1">IFERROR(IF(INDEX(MO_Common_QEndDate,0,COLUMN())&gt;TODAY(),CIQ("$"&amp;HP.TradeCurrency&amp;MO.ReportCurrency,"IQ_LASTSALEPRICE"),CIQAVG("$"&amp;HP.TradeCurrency&amp;MO.ReportCurrency,"IQ_LASTSALEPRICE",INDEX(MO_SNA_FPStartDate,0,COLUMN()),INDEX(MO_Common_QEndDate,0,COLUMN()))),"N/A")</f>
        <v>N/A</v>
      </c>
      <c r="AR1127" s="602" t="str">
        <f ca="1">IFERROR(IF(INDEX(MO_Common_QEndDate,0,COLUMN())&gt;TODAY(),CIQ("$"&amp;HP.TradeCurrency&amp;MO.ReportCurrency,"IQ_LASTSALEPRICE"),CIQAVG("$"&amp;HP.TradeCurrency&amp;MO.ReportCurrency,"IQ_LASTSALEPRICE",INDEX(MO_SNA_FPStartDate,0,COLUMN()),INDEX(MO_Common_QEndDate,0,COLUMN()))),"N/A")</f>
        <v>N/A</v>
      </c>
      <c r="AS1127" s="602" t="str">
        <f ca="1">IFERROR(IF(INDEX(MO_Common_QEndDate,0,COLUMN())&gt;TODAY(),CIQ("$"&amp;HP.TradeCurrency&amp;MO.ReportCurrency,"IQ_LASTSALEPRICE"),CIQAVG("$"&amp;HP.TradeCurrency&amp;MO.ReportCurrency,"IQ_LASTSALEPRICE",INDEX(MO_SNA_FPStartDate,0,COLUMN()),INDEX(MO_Common_QEndDate,0,COLUMN()))),"N/A")</f>
        <v>N/A</v>
      </c>
      <c r="AT1127" s="602" t="str">
        <f ca="1">IFERROR(IF(INDEX(MO_Common_QEndDate,0,COLUMN())&gt;TODAY(),CIQ("$"&amp;HP.TradeCurrency&amp;MO.ReportCurrency,"IQ_LASTSALEPRICE"),CIQAVG("$"&amp;HP.TradeCurrency&amp;MO.ReportCurrency,"IQ_LASTSALEPRICE",INDEX(MO_SNA_FPStartDate,0,COLUMN()),INDEX(MO_Common_QEndDate,0,COLUMN()))),"N/A")</f>
        <v>N/A</v>
      </c>
      <c r="AU1127" s="602" t="str">
        <f ca="1">IFERROR(IF(INDEX(MO_Common_QEndDate,0,COLUMN())&gt;TODAY(),CIQ("$"&amp;HP.TradeCurrency&amp;MO.ReportCurrency,"IQ_LASTSALEPRICE"),CIQAVG("$"&amp;HP.TradeCurrency&amp;MO.ReportCurrency,"IQ_LASTSALEPRICE",INDEX(MO_SNA_FPStartDate,0,COLUMN()),INDEX(MO_Common_QEndDate,0,COLUMN()))),"N/A")</f>
        <v>N/A</v>
      </c>
      <c r="AV1127" s="602" t="str">
        <f ca="1">IFERROR(IF(INDEX(MO_Common_QEndDate,0,COLUMN())&gt;TODAY(),CIQ("$"&amp;HP.TradeCurrency&amp;MO.ReportCurrency,"IQ_LASTSALEPRICE"),CIQAVG("$"&amp;HP.TradeCurrency&amp;MO.ReportCurrency,"IQ_LASTSALEPRICE",INDEX(MO_SNA_FPStartDate,0,COLUMN()),INDEX(MO_Common_QEndDate,0,COLUMN()))),"N/A")</f>
        <v>N/A</v>
      </c>
      <c r="AW1127" s="602" t="str">
        <f ca="1">IFERROR(IF(INDEX(MO_Common_QEndDate,0,COLUMN())&gt;TODAY(),CIQ("$"&amp;HP.TradeCurrency&amp;MO.ReportCurrency,"IQ_LASTSALEPRICE"),CIQAVG("$"&amp;HP.TradeCurrency&amp;MO.ReportCurrency,"IQ_LASTSALEPRICE",INDEX(MO_SNA_FPStartDate,0,COLUMN()),INDEX(MO_Common_QEndDate,0,COLUMN()))),"N/A")</f>
        <v>N/A</v>
      </c>
      <c r="AX1127" s="602" t="str">
        <f ca="1">IFERROR(IF(INDEX(MO_Common_QEndDate,0,COLUMN())&gt;TODAY(),CIQ("$"&amp;HP.TradeCurrency&amp;MO.ReportCurrency,"IQ_LASTSALEPRICE"),CIQAVG("$"&amp;HP.TradeCurrency&amp;MO.ReportCurrency,"IQ_LASTSALEPRICE",INDEX(MO_SNA_FPStartDate,0,COLUMN()),INDEX(MO_Common_QEndDate,0,COLUMN()))),"N/A")</f>
        <v>N/A</v>
      </c>
      <c r="AY1127" s="602" t="str">
        <f ca="1">IFERROR(IF(INDEX(MO_Common_QEndDate,0,COLUMN())&gt;TODAY(),CIQ("$"&amp;HP.TradeCurrency&amp;MO.ReportCurrency,"IQ_LASTSALEPRICE"),CIQAVG("$"&amp;HP.TradeCurrency&amp;MO.ReportCurrency,"IQ_LASTSALEPRICE",INDEX(MO_SNA_FPStartDate,0,COLUMN()),INDEX(MO_Common_QEndDate,0,COLUMN()))),"N/A")</f>
        <v>N/A</v>
      </c>
      <c r="AZ1127" s="602" t="str">
        <f ca="1">IFERROR(IF(INDEX(MO_Common_QEndDate,0,COLUMN())&gt;TODAY(),CIQ("$"&amp;HP.TradeCurrency&amp;MO.ReportCurrency,"IQ_LASTSALEPRICE"),CIQAVG("$"&amp;HP.TradeCurrency&amp;MO.ReportCurrency,"IQ_LASTSALEPRICE",INDEX(MO_SNA_FPStartDate,0,COLUMN()),INDEX(MO_Common_QEndDate,0,COLUMN()))),"N/A")</f>
        <v>N/A</v>
      </c>
      <c r="BA1127" s="602" t="str">
        <f ca="1">IFERROR(IF(INDEX(MO_Common_QEndDate,0,COLUMN())&gt;TODAY(),CIQ("$"&amp;HP.TradeCurrency&amp;MO.ReportCurrency,"IQ_LASTSALEPRICE"),CIQAVG("$"&amp;HP.TradeCurrency&amp;MO.ReportCurrency,"IQ_LASTSALEPRICE",INDEX(MO_SNA_FPStartDate,0,COLUMN()),INDEX(MO_Common_QEndDate,0,COLUMN()))),"N/A")</f>
        <v>N/A</v>
      </c>
      <c r="BB1127" s="602" t="str">
        <f ca="1">IFERROR(IF(INDEX(MO_Common_QEndDate,0,COLUMN())&gt;TODAY(),CIQ("$"&amp;HP.TradeCurrency&amp;MO.ReportCurrency,"IQ_LASTSALEPRICE"),CIQAVG("$"&amp;HP.TradeCurrency&amp;MO.ReportCurrency,"IQ_LASTSALEPRICE",INDEX(MO_SNA_FPStartDate,0,COLUMN()),INDEX(MO_Common_QEndDate,0,COLUMN()))),"N/A")</f>
        <v>N/A</v>
      </c>
      <c r="BC1127" s="602" t="str">
        <f ca="1">IFERROR(IF(INDEX(MO_Common_QEndDate,0,COLUMN())&gt;TODAY(),CIQ("$"&amp;HP.TradeCurrency&amp;MO.ReportCurrency,"IQ_LASTSALEPRICE"),CIQAVG("$"&amp;HP.TradeCurrency&amp;MO.ReportCurrency,"IQ_LASTSALEPRICE",INDEX(MO_SNA_FPStartDate,0,COLUMN()),INDEX(MO_Common_QEndDate,0,COLUMN()))),"N/A")</f>
        <v>N/A</v>
      </c>
      <c r="BD1127" s="602" t="str">
        <f ca="1">IFERROR(IF(INDEX(MO_Common_QEndDate,0,COLUMN())&gt;TODAY(),CIQ("$"&amp;HP.TradeCurrency&amp;MO.ReportCurrency,"IQ_LASTSALEPRICE"),CIQAVG("$"&amp;HP.TradeCurrency&amp;MO.ReportCurrency,"IQ_LASTSALEPRICE",INDEX(MO_SNA_FPStartDate,0,COLUMN()),INDEX(MO_Common_QEndDate,0,COLUMN()))),"N/A")</f>
        <v>N/A</v>
      </c>
      <c r="BE1127" s="602" t="str">
        <f ca="1">IFERROR(IF(INDEX(MO_Common_QEndDate,0,COLUMN())&gt;TODAY(),CIQ("$"&amp;HP.TradeCurrency&amp;MO.ReportCurrency,"IQ_LASTSALEPRICE"),CIQAVG("$"&amp;HP.TradeCurrency&amp;MO.ReportCurrency,"IQ_LASTSALEPRICE",INDEX(MO_SNA_FPStartDate,0,COLUMN()),INDEX(MO_Common_QEndDate,0,COLUMN()))),"N/A")</f>
        <v>N/A</v>
      </c>
      <c r="BF1127" s="602" t="str">
        <f ca="1">IFERROR(IF(INDEX(MO_Common_QEndDate,0,COLUMN())&gt;TODAY(),CIQ("$"&amp;HP.TradeCurrency&amp;MO.ReportCurrency,"IQ_LASTSALEPRICE"),CIQAVG("$"&amp;HP.TradeCurrency&amp;MO.ReportCurrency,"IQ_LASTSALEPRICE",INDEX(MO_SNA_FPStartDate,0,COLUMN()),INDEX(MO_Common_QEndDate,0,COLUMN()))),"N/A")</f>
        <v>N/A</v>
      </c>
      <c r="BG1127" s="602" t="str">
        <f ca="1">IFERROR(IF(INDEX(MO_Common_QEndDate,0,COLUMN())&gt;TODAY(),CIQ("$"&amp;HP.TradeCurrency&amp;MO.ReportCurrency,"IQ_LASTSALEPRICE"),CIQAVG("$"&amp;HP.TradeCurrency&amp;MO.ReportCurrency,"IQ_LASTSALEPRICE",INDEX(MO_SNA_FPStartDate,0,COLUMN()),INDEX(MO_Common_QEndDate,0,COLUMN()))),"N/A")</f>
        <v>N/A</v>
      </c>
      <c r="BH1127" s="603" t="str">
        <f ca="1">IFERROR(IF(INDEX(MO_Common_QEndDate,0,COLUMN())&gt;TODAY(),CIQ("$"&amp;HP.TradeCurrency&amp;MO.ReportCurrency,"IQ_LASTSALEPRICE"),CIQAVG("$"&amp;HP.TradeCurrency&amp;MO.ReportCurrency,"IQ_LASTSALEPRICE",INDEX(MO_SNA_FPStartDate,0,COLUMN()),INDEX(MO_Common_QEndDate,0,COLUMN()))),"N/A")</f>
        <v>N/A</v>
      </c>
      <c r="BI1127" s="602" t="str">
        <f ca="1">IFERROR(IF(INDEX(MO_Common_QEndDate,0,COLUMN())&gt;TODAY(),CIQ("$"&amp;HP.TradeCurrency&amp;MO.ReportCurrency,"IQ_LASTSALEPRICE"),CIQAVG("$"&amp;HP.TradeCurrency&amp;MO.ReportCurrency,"IQ_LASTSALEPRICE",INDEX(MO_SNA_FPStartDate,0,COLUMN()),INDEX(MO_Common_QEndDate,0,COLUMN()))),"N/A")</f>
        <v>N/A</v>
      </c>
      <c r="BJ1127" s="602" t="str">
        <f ca="1">IFERROR(IF(INDEX(MO_Common_QEndDate,0,COLUMN())&gt;TODAY(),CIQ("$"&amp;HP.TradeCurrency&amp;MO.ReportCurrency,"IQ_LASTSALEPRICE"),CIQAVG("$"&amp;HP.TradeCurrency&amp;MO.ReportCurrency,"IQ_LASTSALEPRICE",INDEX(MO_SNA_FPStartDate,0,COLUMN()),INDEX(MO_Common_QEndDate,0,COLUMN()))),"N/A")</f>
        <v>N/A</v>
      </c>
      <c r="BK1127" s="602" t="str">
        <f ca="1">IFERROR(IF(INDEX(MO_Common_QEndDate,0,COLUMN())&gt;TODAY(),CIQ("$"&amp;HP.TradeCurrency&amp;MO.ReportCurrency,"IQ_LASTSALEPRICE"),CIQAVG("$"&amp;HP.TradeCurrency&amp;MO.ReportCurrency,"IQ_LASTSALEPRICE",INDEX(MO_SNA_FPStartDate,0,COLUMN()),INDEX(MO_Common_QEndDate,0,COLUMN()))),"N/A")</f>
        <v>N/A</v>
      </c>
      <c r="BL1127" s="602" t="str">
        <f ca="1">IFERROR(IF(INDEX(MO_Common_QEndDate,0,COLUMN())&gt;TODAY(),CIQ("$"&amp;HP.TradeCurrency&amp;MO.ReportCurrency,"IQ_LASTSALEPRICE"),CIQAVG("$"&amp;HP.TradeCurrency&amp;MO.ReportCurrency,"IQ_LASTSALEPRICE",INDEX(MO_SNA_FPStartDate,0,COLUMN()),INDEX(MO_Common_QEndDate,0,COLUMN()))),"N/A")</f>
        <v>N/A</v>
      </c>
      <c r="BM1127" s="602" t="str">
        <f ca="1">IFERROR(IF(INDEX(MO_Common_QEndDate,0,COLUMN())&gt;TODAY(),CIQ("$"&amp;HP.TradeCurrency&amp;MO.ReportCurrency,"IQ_LASTSALEPRICE"),CIQAVG("$"&amp;HP.TradeCurrency&amp;MO.ReportCurrency,"IQ_LASTSALEPRICE",INDEX(MO_SNA_FPStartDate,0,COLUMN()),INDEX(MO_Common_QEndDate,0,COLUMN()))),"N/A")</f>
        <v>N/A</v>
      </c>
      <c r="BN1127" s="602" t="str">
        <f ca="1">IFERROR(IF(INDEX(MO_Common_QEndDate,0,COLUMN())&gt;TODAY(),CIQ("$"&amp;HP.TradeCurrency&amp;MO.ReportCurrency,"IQ_LASTSALEPRICE"),CIQAVG("$"&amp;HP.TradeCurrency&amp;MO.ReportCurrency,"IQ_LASTSALEPRICE",INDEX(MO_SNA_FPStartDate,0,COLUMN()),INDEX(MO_Common_QEndDate,0,COLUMN()))),"N/A")</f>
        <v>N/A</v>
      </c>
      <c r="BO1127" s="602" t="str">
        <f ca="1">IFERROR(IF(INDEX(MO_Common_QEndDate,0,COLUMN())&gt;TODAY(),CIQ("$"&amp;HP.TradeCurrency&amp;MO.ReportCurrency,"IQ_LASTSALEPRICE"),CIQAVG("$"&amp;HP.TradeCurrency&amp;MO.ReportCurrency,"IQ_LASTSALEPRICE",INDEX(MO_SNA_FPStartDate,0,COLUMN()),INDEX(MO_Common_QEndDate,0,COLUMN()))),"N/A")</f>
        <v>N/A</v>
      </c>
      <c r="BP1127" s="602" t="str">
        <f ca="1">IFERROR(IF(INDEX(MO_Common_QEndDate,0,COLUMN())&gt;TODAY(),CIQ("$"&amp;HP.TradeCurrency&amp;MO.ReportCurrency,"IQ_LASTSALEPRICE"),CIQAVG("$"&amp;HP.TradeCurrency&amp;MO.ReportCurrency,"IQ_LASTSALEPRICE",INDEX(MO_SNA_FPStartDate,0,COLUMN()),INDEX(MO_Common_QEndDate,0,COLUMN()))),"N/A")</f>
        <v>N/A</v>
      </c>
      <c r="BQ1127" s="602" t="str">
        <f ca="1">IFERROR(IF(INDEX(MO_Common_QEndDate,0,COLUMN())&gt;TODAY(),CIQ("$"&amp;HP.TradeCurrency&amp;MO.ReportCurrency,"IQ_LASTSALEPRICE"),CIQAVG("$"&amp;HP.TradeCurrency&amp;MO.ReportCurrency,"IQ_LASTSALEPRICE",INDEX(MO_SNA_FPStartDate,0,COLUMN()),INDEX(MO_Common_QEndDate,0,COLUMN()))),"N/A")</f>
        <v>N/A</v>
      </c>
      <c r="BR1127" s="604" t="str">
        <f ca="1">IFERROR(IF(INDEX(MO_Common_QEndDate,0,COLUMN())&gt;TODAY(),CIQ("$"&amp;HP.TradeCurrency&amp;MO.ReportCurrency,"IQ_LASTSALEPRICE"),CIQAVG("$"&amp;HP.TradeCurrency&amp;MO.ReportCurrency,"IQ_LASTSALEPRICE",INDEX(MO_SNA_FPStartDate,0,COLUMN()),INDEX(MO_Common_QEndDate,0,COLUMN()))),"N/A")</f>
        <v>N/A</v>
      </c>
      <c r="BS1127" s="356"/>
    </row>
    <row r="1128" spans="1:71" s="326" customFormat="1" ht="15" hidden="1" outlineLevel="1">
      <c r="A1128" s="327" t="s">
        <v>244</v>
      </c>
      <c r="B1128" s="602"/>
      <c r="C1128" s="601" t="str">
        <f ca="1">IFERROR(IF(INDEX(MO_Common_QEndDate,0,COLUMN())&gt;TODAY(),FDS(MO.ReportCurrency&amp;HP.TradeCurrency,"FG_PRICE(NOW)"),FDS(MO.ReportCurrency&amp;HP.TradeCurrency,"P_PRICE_AVG("&amp;INDEX(MO_SNA_FPStartDate,0,COLUMN())&amp;","&amp;INDEX(MO_Common_QEndDate,0,COLUMN())&amp;",,,,0)")),"N/A")</f>
        <v>N/A</v>
      </c>
      <c r="D1128" s="601" t="str">
        <f ca="1">IFERROR(IF(INDEX(MO_Common_QEndDate,0,COLUMN())&gt;TODAY(),FDS(MO.ReportCurrency&amp;HP.TradeCurrency,"FG_PRICE(NOW)"),FDS(MO.ReportCurrency&amp;HP.TradeCurrency,"P_PRICE_AVG("&amp;INDEX(MO_SNA_FPStartDate,0,COLUMN())&amp;","&amp;INDEX(MO_Common_QEndDate,0,COLUMN())&amp;",,,,0)")),"N/A")</f>
        <v>N/A</v>
      </c>
      <c r="E1128" s="602" t="str">
        <f ca="1">IFERROR(IF(INDEX(MO_Common_QEndDate,0,COLUMN())&gt;TODAY(),FDS(MO.ReportCurrency&amp;HP.TradeCurrency,"FG_PRICE(NOW)"),FDS(MO.ReportCurrency&amp;HP.TradeCurrency,"P_PRICE_AVG("&amp;INDEX(MO_SNA_FPStartDate,0,COLUMN())&amp;","&amp;INDEX(MO_Common_QEndDate,0,COLUMN())&amp;",,,,0)")),"N/A")</f>
        <v>N/A</v>
      </c>
      <c r="F1128" s="602" t="str">
        <f ca="1">IFERROR(IF(INDEX(MO_Common_QEndDate,0,COLUMN())&gt;TODAY(),FDS(MO.ReportCurrency&amp;HP.TradeCurrency,"FG_PRICE(NOW)"),FDS(MO.ReportCurrency&amp;HP.TradeCurrency,"P_PRICE_AVG("&amp;INDEX(MO_SNA_FPStartDate,0,COLUMN())&amp;","&amp;INDEX(MO_Common_QEndDate,0,COLUMN())&amp;",,,,0)")),"N/A")</f>
        <v>N/A</v>
      </c>
      <c r="G1128" s="602" t="str">
        <f ca="1">IFERROR(IF(INDEX(MO_Common_QEndDate,0,COLUMN())&gt;TODAY(),FDS(MO.ReportCurrency&amp;HP.TradeCurrency,"FG_PRICE(NOW)"),FDS(MO.ReportCurrency&amp;HP.TradeCurrency,"P_PRICE_AVG("&amp;INDEX(MO_SNA_FPStartDate,0,COLUMN())&amp;","&amp;INDEX(MO_Common_QEndDate,0,COLUMN())&amp;",,,,0)")),"N/A")</f>
        <v>N/A</v>
      </c>
      <c r="H1128" s="602" t="str">
        <f ca="1">IFERROR(IF(INDEX(MO_Common_QEndDate,0,COLUMN())&gt;TODAY(),FDS(MO.ReportCurrency&amp;HP.TradeCurrency,"FG_PRICE(NOW)"),FDS(MO.ReportCurrency&amp;HP.TradeCurrency,"P_PRICE_AVG("&amp;INDEX(MO_SNA_FPStartDate,0,COLUMN())&amp;","&amp;INDEX(MO_Common_QEndDate,0,COLUMN())&amp;",,,,0)")),"N/A")</f>
        <v>N/A</v>
      </c>
      <c r="I1128" s="602" t="str">
        <f ca="1">IFERROR(IF(INDEX(MO_Common_QEndDate,0,COLUMN())&gt;TODAY(),FDS(MO.ReportCurrency&amp;HP.TradeCurrency,"FG_PRICE(NOW)"),FDS(MO.ReportCurrency&amp;HP.TradeCurrency,"P_PRICE_AVG("&amp;INDEX(MO_SNA_FPStartDate,0,COLUMN())&amp;","&amp;INDEX(MO_Common_QEndDate,0,COLUMN())&amp;",,,,0)")),"N/A")</f>
        <v>N/A</v>
      </c>
      <c r="J1128" s="602" t="str">
        <f ca="1">IFERROR(IF(INDEX(MO_Common_QEndDate,0,COLUMN())&gt;TODAY(),FDS(MO.ReportCurrency&amp;HP.TradeCurrency,"FG_PRICE(NOW)"),FDS(MO.ReportCurrency&amp;HP.TradeCurrency,"P_PRICE_AVG("&amp;INDEX(MO_SNA_FPStartDate,0,COLUMN())&amp;","&amp;INDEX(MO_Common_QEndDate,0,COLUMN())&amp;",,,,0)")),"N/A")</f>
        <v>N/A</v>
      </c>
      <c r="K1128" s="602" t="str">
        <f ca="1">IFERROR(IF(INDEX(MO_Common_QEndDate,0,COLUMN())&gt;TODAY(),FDS(MO.ReportCurrency&amp;HP.TradeCurrency,"FG_PRICE(NOW)"),FDS(MO.ReportCurrency&amp;HP.TradeCurrency,"P_PRICE_AVG("&amp;INDEX(MO_SNA_FPStartDate,0,COLUMN())&amp;","&amp;INDEX(MO_Common_QEndDate,0,COLUMN())&amp;",,,,0)")),"N/A")</f>
        <v>N/A</v>
      </c>
      <c r="L1128" s="602" t="str">
        <f ca="1">IFERROR(IF(INDEX(MO_Common_QEndDate,0,COLUMN())&gt;TODAY(),FDS(MO.ReportCurrency&amp;HP.TradeCurrency,"FG_PRICE(NOW)"),FDS(MO.ReportCurrency&amp;HP.TradeCurrency,"P_PRICE_AVG("&amp;INDEX(MO_SNA_FPStartDate,0,COLUMN())&amp;","&amp;INDEX(MO_Common_QEndDate,0,COLUMN())&amp;",,,,0)")),"N/A")</f>
        <v>N/A</v>
      </c>
      <c r="M1128" s="602" t="str">
        <f ca="1">IFERROR(IF(INDEX(MO_Common_QEndDate,0,COLUMN())&gt;TODAY(),FDS(MO.ReportCurrency&amp;HP.TradeCurrency,"FG_PRICE(NOW)"),FDS(MO.ReportCurrency&amp;HP.TradeCurrency,"P_PRICE_AVG("&amp;INDEX(MO_SNA_FPStartDate,0,COLUMN())&amp;","&amp;INDEX(MO_Common_QEndDate,0,COLUMN())&amp;",,,,0)")),"N/A")</f>
        <v>N/A</v>
      </c>
      <c r="N1128" s="602" t="str">
        <f ca="1">IFERROR(IF(INDEX(MO_Common_QEndDate,0,COLUMN())&gt;TODAY(),FDS(MO.ReportCurrency&amp;HP.TradeCurrency,"FG_PRICE(NOW)"),FDS(MO.ReportCurrency&amp;HP.TradeCurrency,"P_PRICE_AVG("&amp;INDEX(MO_SNA_FPStartDate,0,COLUMN())&amp;","&amp;INDEX(MO_Common_QEndDate,0,COLUMN())&amp;",,,,0)")),"N/A")</f>
        <v>N/A</v>
      </c>
      <c r="O1128" s="602" t="str">
        <f ca="1">IFERROR(IF(INDEX(MO_Common_QEndDate,0,COLUMN())&gt;TODAY(),FDS(MO.ReportCurrency&amp;HP.TradeCurrency,"FG_PRICE(NOW)"),FDS(MO.ReportCurrency&amp;HP.TradeCurrency,"P_PRICE_AVG("&amp;INDEX(MO_SNA_FPStartDate,0,COLUMN())&amp;","&amp;INDEX(MO_Common_QEndDate,0,COLUMN())&amp;",,,,0)")),"N/A")</f>
        <v>N/A</v>
      </c>
      <c r="P1128" s="602" t="str">
        <f ca="1">IFERROR(IF(INDEX(MO_Common_QEndDate,0,COLUMN())&gt;TODAY(),FDS(MO.ReportCurrency&amp;HP.TradeCurrency,"FG_PRICE(NOW)"),FDS(MO.ReportCurrency&amp;HP.TradeCurrency,"P_PRICE_AVG("&amp;INDEX(MO_SNA_FPStartDate,0,COLUMN())&amp;","&amp;INDEX(MO_Common_QEndDate,0,COLUMN())&amp;",,,,0)")),"N/A")</f>
        <v>N/A</v>
      </c>
      <c r="Q1128" s="602" t="str">
        <f ca="1">IFERROR(IF(INDEX(MO_Common_QEndDate,0,COLUMN())&gt;TODAY(),FDS(MO.ReportCurrency&amp;HP.TradeCurrency,"FG_PRICE(NOW)"),FDS(MO.ReportCurrency&amp;HP.TradeCurrency,"P_PRICE_AVG("&amp;INDEX(MO_SNA_FPStartDate,0,COLUMN())&amp;","&amp;INDEX(MO_Common_QEndDate,0,COLUMN())&amp;",,,,0)")),"N/A")</f>
        <v>N/A</v>
      </c>
      <c r="R1128" s="602" t="str">
        <f ca="1">IFERROR(IF(INDEX(MO_Common_QEndDate,0,COLUMN())&gt;TODAY(),FDS(MO.ReportCurrency&amp;HP.TradeCurrency,"FG_PRICE(NOW)"),FDS(MO.ReportCurrency&amp;HP.TradeCurrency,"P_PRICE_AVG("&amp;INDEX(MO_SNA_FPStartDate,0,COLUMN())&amp;","&amp;INDEX(MO_Common_QEndDate,0,COLUMN())&amp;",,,,0)")),"N/A")</f>
        <v>N/A</v>
      </c>
      <c r="S1128" s="602" t="str">
        <f ca="1">IFERROR(IF(INDEX(MO_Common_QEndDate,0,COLUMN())&gt;TODAY(),FDS(MO.ReportCurrency&amp;HP.TradeCurrency,"FG_PRICE(NOW)"),FDS(MO.ReportCurrency&amp;HP.TradeCurrency,"P_PRICE_AVG("&amp;INDEX(MO_SNA_FPStartDate,0,COLUMN())&amp;","&amp;INDEX(MO_Common_QEndDate,0,COLUMN())&amp;",,,,0)")),"N/A")</f>
        <v>N/A</v>
      </c>
      <c r="T1128" s="602" t="str">
        <f ca="1">IFERROR(IF(INDEX(MO_Common_QEndDate,0,COLUMN())&gt;TODAY(),FDS(MO.ReportCurrency&amp;HP.TradeCurrency,"FG_PRICE(NOW)"),FDS(MO.ReportCurrency&amp;HP.TradeCurrency,"P_PRICE_AVG("&amp;INDEX(MO_SNA_FPStartDate,0,COLUMN())&amp;","&amp;INDEX(MO_Common_QEndDate,0,COLUMN())&amp;",,,,0)")),"N/A")</f>
        <v>N/A</v>
      </c>
      <c r="U1128" s="602" t="str">
        <f ca="1">IFERROR(IF(INDEX(MO_Common_QEndDate,0,COLUMN())&gt;TODAY(),FDS(MO.ReportCurrency&amp;HP.TradeCurrency,"FG_PRICE(NOW)"),FDS(MO.ReportCurrency&amp;HP.TradeCurrency,"P_PRICE_AVG("&amp;INDEX(MO_SNA_FPStartDate,0,COLUMN())&amp;","&amp;INDEX(MO_Common_QEndDate,0,COLUMN())&amp;",,,,0)")),"N/A")</f>
        <v>N/A</v>
      </c>
      <c r="V1128" s="602" t="str">
        <f ca="1">IFERROR(IF(INDEX(MO_Common_QEndDate,0,COLUMN())&gt;TODAY(),FDS(MO.ReportCurrency&amp;HP.TradeCurrency,"FG_PRICE(NOW)"),FDS(MO.ReportCurrency&amp;HP.TradeCurrency,"P_PRICE_AVG("&amp;INDEX(MO_SNA_FPStartDate,0,COLUMN())&amp;","&amp;INDEX(MO_Common_QEndDate,0,COLUMN())&amp;",,,,0)")),"N/A")</f>
        <v>N/A</v>
      </c>
      <c r="W1128" s="602" t="str">
        <f ca="1">IFERROR(IF(INDEX(MO_Common_QEndDate,0,COLUMN())&gt;TODAY(),FDS(MO.ReportCurrency&amp;HP.TradeCurrency,"FG_PRICE(NOW)"),FDS(MO.ReportCurrency&amp;HP.TradeCurrency,"P_PRICE_AVG("&amp;INDEX(MO_SNA_FPStartDate,0,COLUMN())&amp;","&amp;INDEX(MO_Common_QEndDate,0,COLUMN())&amp;",,,,0)")),"N/A")</f>
        <v>N/A</v>
      </c>
      <c r="X1128" s="602" t="str">
        <f ca="1">IFERROR(IF(INDEX(MO_Common_QEndDate,0,COLUMN())&gt;TODAY(),FDS(MO.ReportCurrency&amp;HP.TradeCurrency,"FG_PRICE(NOW)"),FDS(MO.ReportCurrency&amp;HP.TradeCurrency,"P_PRICE_AVG("&amp;INDEX(MO_SNA_FPStartDate,0,COLUMN())&amp;","&amp;INDEX(MO_Common_QEndDate,0,COLUMN())&amp;",,,,0)")),"N/A")</f>
        <v>N/A</v>
      </c>
      <c r="Y1128" s="602" t="str">
        <f ca="1">IFERROR(IF(INDEX(MO_Common_QEndDate,0,COLUMN())&gt;TODAY(),FDS(MO.ReportCurrency&amp;HP.TradeCurrency,"FG_PRICE(NOW)"),FDS(MO.ReportCurrency&amp;HP.TradeCurrency,"P_PRICE_AVG("&amp;INDEX(MO_SNA_FPStartDate,0,COLUMN())&amp;","&amp;INDEX(MO_Common_QEndDate,0,COLUMN())&amp;",,,,0)")),"N/A")</f>
        <v>N/A</v>
      </c>
      <c r="Z1128" s="602" t="str">
        <f ca="1">IFERROR(IF(INDEX(MO_Common_QEndDate,0,COLUMN())&gt;TODAY(),FDS(MO.ReportCurrency&amp;HP.TradeCurrency,"FG_PRICE(NOW)"),FDS(MO.ReportCurrency&amp;HP.TradeCurrency,"P_PRICE_AVG("&amp;INDEX(MO_SNA_FPStartDate,0,COLUMN())&amp;","&amp;INDEX(MO_Common_QEndDate,0,COLUMN())&amp;",,,,0)")),"N/A")</f>
        <v>N/A</v>
      </c>
      <c r="AA1128" s="602" t="str">
        <f ca="1">IFERROR(IF(INDEX(MO_Common_QEndDate,0,COLUMN())&gt;TODAY(),FDS(MO.ReportCurrency&amp;HP.TradeCurrency,"FG_PRICE(NOW)"),FDS(MO.ReportCurrency&amp;HP.TradeCurrency,"P_PRICE_AVG("&amp;INDEX(MO_SNA_FPStartDate,0,COLUMN())&amp;","&amp;INDEX(MO_Common_QEndDate,0,COLUMN())&amp;",,,,0)")),"N/A")</f>
        <v>N/A</v>
      </c>
      <c r="AB1128" s="602" t="str">
        <f ca="1">IFERROR(IF(INDEX(MO_Common_QEndDate,0,COLUMN())&gt;TODAY(),FDS(MO.ReportCurrency&amp;HP.TradeCurrency,"FG_PRICE(NOW)"),FDS(MO.ReportCurrency&amp;HP.TradeCurrency,"P_PRICE_AVG("&amp;INDEX(MO_SNA_FPStartDate,0,COLUMN())&amp;","&amp;INDEX(MO_Common_QEndDate,0,COLUMN())&amp;",,,,0)")),"N/A")</f>
        <v>N/A</v>
      </c>
      <c r="AC1128" s="602" t="str">
        <f ca="1">IFERROR(IF(INDEX(MO_Common_QEndDate,0,COLUMN())&gt;TODAY(),FDS(MO.ReportCurrency&amp;HP.TradeCurrency,"FG_PRICE(NOW)"),FDS(MO.ReportCurrency&amp;HP.TradeCurrency,"P_PRICE_AVG("&amp;INDEX(MO_SNA_FPStartDate,0,COLUMN())&amp;","&amp;INDEX(MO_Common_QEndDate,0,COLUMN())&amp;",,,,0)")),"N/A")</f>
        <v>N/A</v>
      </c>
      <c r="AD1128" s="602" t="str">
        <f ca="1">IFERROR(IF(INDEX(MO_Common_QEndDate,0,COLUMN())&gt;TODAY(),FDS(MO.ReportCurrency&amp;HP.TradeCurrency,"FG_PRICE(NOW)"),FDS(MO.ReportCurrency&amp;HP.TradeCurrency,"P_PRICE_AVG("&amp;INDEX(MO_SNA_FPStartDate,0,COLUMN())&amp;","&amp;INDEX(MO_Common_QEndDate,0,COLUMN())&amp;",,,,0)")),"N/A")</f>
        <v>N/A</v>
      </c>
      <c r="AE1128" s="602" t="str">
        <f ca="1">IFERROR(IF(INDEX(MO_Common_QEndDate,0,COLUMN())&gt;TODAY(),FDS(MO.ReportCurrency&amp;HP.TradeCurrency,"FG_PRICE(NOW)"),FDS(MO.ReportCurrency&amp;HP.TradeCurrency,"P_PRICE_AVG("&amp;INDEX(MO_SNA_FPStartDate,0,COLUMN())&amp;","&amp;INDEX(MO_Common_QEndDate,0,COLUMN())&amp;",,,,0)")),"N/A")</f>
        <v>N/A</v>
      </c>
      <c r="AF1128" s="602" t="str">
        <f ca="1">IFERROR(IF(INDEX(MO_Common_QEndDate,0,COLUMN())&gt;TODAY(),FDS(MO.ReportCurrency&amp;HP.TradeCurrency,"FG_PRICE(NOW)"),FDS(MO.ReportCurrency&amp;HP.TradeCurrency,"P_PRICE_AVG("&amp;INDEX(MO_SNA_FPStartDate,0,COLUMN())&amp;","&amp;INDEX(MO_Common_QEndDate,0,COLUMN())&amp;",,,,0)")),"N/A")</f>
        <v>N/A</v>
      </c>
      <c r="AG1128" s="602" t="str">
        <f ca="1">IFERROR(IF(INDEX(MO_Common_QEndDate,0,COLUMN())&gt;TODAY(),FDS(MO.ReportCurrency&amp;HP.TradeCurrency,"FG_PRICE(NOW)"),FDS(MO.ReportCurrency&amp;HP.TradeCurrency,"P_PRICE_AVG("&amp;INDEX(MO_SNA_FPStartDate,0,COLUMN())&amp;","&amp;INDEX(MO_Common_QEndDate,0,COLUMN())&amp;",,,,0)")),"N/A")</f>
        <v>N/A</v>
      </c>
      <c r="AH1128" s="602" t="str">
        <f ca="1">IFERROR(IF(INDEX(MO_Common_QEndDate,0,COLUMN())&gt;TODAY(),FDS(MO.ReportCurrency&amp;HP.TradeCurrency,"FG_PRICE(NOW)"),FDS(MO.ReportCurrency&amp;HP.TradeCurrency,"P_PRICE_AVG("&amp;INDEX(MO_SNA_FPStartDate,0,COLUMN())&amp;","&amp;INDEX(MO_Common_QEndDate,0,COLUMN())&amp;",,,,0)")),"N/A")</f>
        <v>N/A</v>
      </c>
      <c r="AI1128" s="602" t="str">
        <f ca="1">IFERROR(IF(INDEX(MO_Common_QEndDate,0,COLUMN())&gt;TODAY(),FDS(MO.ReportCurrency&amp;HP.TradeCurrency,"FG_PRICE(NOW)"),FDS(MO.ReportCurrency&amp;HP.TradeCurrency,"P_PRICE_AVG("&amp;INDEX(MO_SNA_FPStartDate,0,COLUMN())&amp;","&amp;INDEX(MO_Common_QEndDate,0,COLUMN())&amp;",,,,0)")),"N/A")</f>
        <v>N/A</v>
      </c>
      <c r="AJ1128" s="602" t="str">
        <f ca="1">IFERROR(IF(INDEX(MO_Common_QEndDate,0,COLUMN())&gt;TODAY(),FDS(MO.ReportCurrency&amp;HP.TradeCurrency,"FG_PRICE(NOW)"),FDS(MO.ReportCurrency&amp;HP.TradeCurrency,"P_PRICE_AVG("&amp;INDEX(MO_SNA_FPStartDate,0,COLUMN())&amp;","&amp;INDEX(MO_Common_QEndDate,0,COLUMN())&amp;",,,,0)")),"N/A")</f>
        <v>N/A</v>
      </c>
      <c r="AK1128" s="602" t="str">
        <f ca="1">IFERROR(IF(INDEX(MO_Common_QEndDate,0,COLUMN())&gt;TODAY(),FDS(MO.ReportCurrency&amp;HP.TradeCurrency,"FG_PRICE(NOW)"),FDS(MO.ReportCurrency&amp;HP.TradeCurrency,"P_PRICE_AVG("&amp;INDEX(MO_SNA_FPStartDate,0,COLUMN())&amp;","&amp;INDEX(MO_Common_QEndDate,0,COLUMN())&amp;",,,,0)")),"N/A")</f>
        <v>N/A</v>
      </c>
      <c r="AL1128" s="602" t="str">
        <f ca="1">IFERROR(IF(INDEX(MO_Common_QEndDate,0,COLUMN())&gt;TODAY(),FDS(MO.ReportCurrency&amp;HP.TradeCurrency,"FG_PRICE(NOW)"),FDS(MO.ReportCurrency&amp;HP.TradeCurrency,"P_PRICE_AVG("&amp;INDEX(MO_SNA_FPStartDate,0,COLUMN())&amp;","&amp;INDEX(MO_Common_QEndDate,0,COLUMN())&amp;",,,,0)")),"N/A")</f>
        <v>N/A</v>
      </c>
      <c r="AM1128" s="602" t="str">
        <f ca="1">IFERROR(IF(INDEX(MO_Common_QEndDate,0,COLUMN())&gt;TODAY(),FDS(MO.ReportCurrency&amp;HP.TradeCurrency,"FG_PRICE(NOW)"),FDS(MO.ReportCurrency&amp;HP.TradeCurrency,"P_PRICE_AVG("&amp;INDEX(MO_SNA_FPStartDate,0,COLUMN())&amp;","&amp;INDEX(MO_Common_QEndDate,0,COLUMN())&amp;",,,,0)")),"N/A")</f>
        <v>N/A</v>
      </c>
      <c r="AN1128" s="602" t="str">
        <f ca="1">IFERROR(IF(INDEX(MO_Common_QEndDate,0,COLUMN())&gt;TODAY(),FDS(MO.ReportCurrency&amp;HP.TradeCurrency,"FG_PRICE(NOW)"),FDS(MO.ReportCurrency&amp;HP.TradeCurrency,"P_PRICE_AVG("&amp;INDEX(MO_SNA_FPStartDate,0,COLUMN())&amp;","&amp;INDEX(MO_Common_QEndDate,0,COLUMN())&amp;",,,,0)")),"N/A")</f>
        <v>N/A</v>
      </c>
      <c r="AO1128" s="602" t="str">
        <f ca="1">IFERROR(IF(INDEX(MO_Common_QEndDate,0,COLUMN())&gt;TODAY(),FDS(MO.ReportCurrency&amp;HP.TradeCurrency,"FG_PRICE(NOW)"),FDS(MO.ReportCurrency&amp;HP.TradeCurrency,"P_PRICE_AVG("&amp;INDEX(MO_SNA_FPStartDate,0,COLUMN())&amp;","&amp;INDEX(MO_Common_QEndDate,0,COLUMN())&amp;",,,,0)")),"N/A")</f>
        <v>N/A</v>
      </c>
      <c r="AP1128" s="602" t="str">
        <f ca="1">IFERROR(IF(INDEX(MO_Common_QEndDate,0,COLUMN())&gt;TODAY(),FDS(MO.ReportCurrency&amp;HP.TradeCurrency,"FG_PRICE(NOW)"),FDS(MO.ReportCurrency&amp;HP.TradeCurrency,"P_PRICE_AVG("&amp;INDEX(MO_SNA_FPStartDate,0,COLUMN())&amp;","&amp;INDEX(MO_Common_QEndDate,0,COLUMN())&amp;",,,,0)")),"N/A")</f>
        <v>N/A</v>
      </c>
      <c r="AQ1128" s="602" t="str">
        <f ca="1">IFERROR(IF(INDEX(MO_Common_QEndDate,0,COLUMN())&gt;TODAY(),FDS(MO.ReportCurrency&amp;HP.TradeCurrency,"FG_PRICE(NOW)"),FDS(MO.ReportCurrency&amp;HP.TradeCurrency,"P_PRICE_AVG("&amp;INDEX(MO_SNA_FPStartDate,0,COLUMN())&amp;","&amp;INDEX(MO_Common_QEndDate,0,COLUMN())&amp;",,,,0)")),"N/A")</f>
        <v>N/A</v>
      </c>
      <c r="AR1128" s="602" t="str">
        <f ca="1">IFERROR(IF(INDEX(MO_Common_QEndDate,0,COLUMN())&gt;TODAY(),FDS(MO.ReportCurrency&amp;HP.TradeCurrency,"FG_PRICE(NOW)"),FDS(MO.ReportCurrency&amp;HP.TradeCurrency,"P_PRICE_AVG("&amp;INDEX(MO_SNA_FPStartDate,0,COLUMN())&amp;","&amp;INDEX(MO_Common_QEndDate,0,COLUMN())&amp;",,,,0)")),"N/A")</f>
        <v>N/A</v>
      </c>
      <c r="AS1128" s="602" t="str">
        <f ca="1">IFERROR(IF(INDEX(MO_Common_QEndDate,0,COLUMN())&gt;TODAY(),FDS(MO.ReportCurrency&amp;HP.TradeCurrency,"FG_PRICE(NOW)"),FDS(MO.ReportCurrency&amp;HP.TradeCurrency,"P_PRICE_AVG("&amp;INDEX(MO_SNA_FPStartDate,0,COLUMN())&amp;","&amp;INDEX(MO_Common_QEndDate,0,COLUMN())&amp;",,,,0)")),"N/A")</f>
        <v>N/A</v>
      </c>
      <c r="AT1128" s="602" t="str">
        <f ca="1">IFERROR(IF(INDEX(MO_Common_QEndDate,0,COLUMN())&gt;TODAY(),FDS(MO.ReportCurrency&amp;HP.TradeCurrency,"FG_PRICE(NOW)"),FDS(MO.ReportCurrency&amp;HP.TradeCurrency,"P_PRICE_AVG("&amp;INDEX(MO_SNA_FPStartDate,0,COLUMN())&amp;","&amp;INDEX(MO_Common_QEndDate,0,COLUMN())&amp;",,,,0)")),"N/A")</f>
        <v>N/A</v>
      </c>
      <c r="AU1128" s="602" t="str">
        <f ca="1">IFERROR(IF(INDEX(MO_Common_QEndDate,0,COLUMN())&gt;TODAY(),FDS(MO.ReportCurrency&amp;HP.TradeCurrency,"FG_PRICE(NOW)"),FDS(MO.ReportCurrency&amp;HP.TradeCurrency,"P_PRICE_AVG("&amp;INDEX(MO_SNA_FPStartDate,0,COLUMN())&amp;","&amp;INDEX(MO_Common_QEndDate,0,COLUMN())&amp;",,,,0)")),"N/A")</f>
        <v>N/A</v>
      </c>
      <c r="AV1128" s="602" t="str">
        <f ca="1">IFERROR(IF(INDEX(MO_Common_QEndDate,0,COLUMN())&gt;TODAY(),FDS(MO.ReportCurrency&amp;HP.TradeCurrency,"FG_PRICE(NOW)"),FDS(MO.ReportCurrency&amp;HP.TradeCurrency,"P_PRICE_AVG("&amp;INDEX(MO_SNA_FPStartDate,0,COLUMN())&amp;","&amp;INDEX(MO_Common_QEndDate,0,COLUMN())&amp;",,,,0)")),"N/A")</f>
        <v>N/A</v>
      </c>
      <c r="AW1128" s="602" t="str">
        <f ca="1">IFERROR(IF(INDEX(MO_Common_QEndDate,0,COLUMN())&gt;TODAY(),FDS(MO.ReportCurrency&amp;HP.TradeCurrency,"FG_PRICE(NOW)"),FDS(MO.ReportCurrency&amp;HP.TradeCurrency,"P_PRICE_AVG("&amp;INDEX(MO_SNA_FPStartDate,0,COLUMN())&amp;","&amp;INDEX(MO_Common_QEndDate,0,COLUMN())&amp;",,,,0)")),"N/A")</f>
        <v>N/A</v>
      </c>
      <c r="AX1128" s="602" t="str">
        <f ca="1">IFERROR(IF(INDEX(MO_Common_QEndDate,0,COLUMN())&gt;TODAY(),FDS(MO.ReportCurrency&amp;HP.TradeCurrency,"FG_PRICE(NOW)"),FDS(MO.ReportCurrency&amp;HP.TradeCurrency,"P_PRICE_AVG("&amp;INDEX(MO_SNA_FPStartDate,0,COLUMN())&amp;","&amp;INDEX(MO_Common_QEndDate,0,COLUMN())&amp;",,,,0)")),"N/A")</f>
        <v>N/A</v>
      </c>
      <c r="AY1128" s="602" t="str">
        <f ca="1">IFERROR(IF(INDEX(MO_Common_QEndDate,0,COLUMN())&gt;TODAY(),FDS(MO.ReportCurrency&amp;HP.TradeCurrency,"FG_PRICE(NOW)"),FDS(MO.ReportCurrency&amp;HP.TradeCurrency,"P_PRICE_AVG("&amp;INDEX(MO_SNA_FPStartDate,0,COLUMN())&amp;","&amp;INDEX(MO_Common_QEndDate,0,COLUMN())&amp;",,,,0)")),"N/A")</f>
        <v>N/A</v>
      </c>
      <c r="AZ1128" s="602" t="str">
        <f ca="1">IFERROR(IF(INDEX(MO_Common_QEndDate,0,COLUMN())&gt;TODAY(),FDS(MO.ReportCurrency&amp;HP.TradeCurrency,"FG_PRICE(NOW)"),FDS(MO.ReportCurrency&amp;HP.TradeCurrency,"P_PRICE_AVG("&amp;INDEX(MO_SNA_FPStartDate,0,COLUMN())&amp;","&amp;INDEX(MO_Common_QEndDate,0,COLUMN())&amp;",,,,0)")),"N/A")</f>
        <v>N/A</v>
      </c>
      <c r="BA1128" s="602" t="str">
        <f ca="1">IFERROR(IF(INDEX(MO_Common_QEndDate,0,COLUMN())&gt;TODAY(),FDS(MO.ReportCurrency&amp;HP.TradeCurrency,"FG_PRICE(NOW)"),FDS(MO.ReportCurrency&amp;HP.TradeCurrency,"P_PRICE_AVG("&amp;INDEX(MO_SNA_FPStartDate,0,COLUMN())&amp;","&amp;INDEX(MO_Common_QEndDate,0,COLUMN())&amp;",,,,0)")),"N/A")</f>
        <v>N/A</v>
      </c>
      <c r="BB1128" s="602" t="str">
        <f ca="1">IFERROR(IF(INDEX(MO_Common_QEndDate,0,COLUMN())&gt;TODAY(),FDS(MO.ReportCurrency&amp;HP.TradeCurrency,"FG_PRICE(NOW)"),FDS(MO.ReportCurrency&amp;HP.TradeCurrency,"P_PRICE_AVG("&amp;INDEX(MO_SNA_FPStartDate,0,COLUMN())&amp;","&amp;INDEX(MO_Common_QEndDate,0,COLUMN())&amp;",,,,0)")),"N/A")</f>
        <v>N/A</v>
      </c>
      <c r="BC1128" s="602" t="str">
        <f ca="1">IFERROR(IF(INDEX(MO_Common_QEndDate,0,COLUMN())&gt;TODAY(),FDS(MO.ReportCurrency&amp;HP.TradeCurrency,"FG_PRICE(NOW)"),FDS(MO.ReportCurrency&amp;HP.TradeCurrency,"P_PRICE_AVG("&amp;INDEX(MO_SNA_FPStartDate,0,COLUMN())&amp;","&amp;INDEX(MO_Common_QEndDate,0,COLUMN())&amp;",,,,0)")),"N/A")</f>
        <v>N/A</v>
      </c>
      <c r="BD1128" s="602" t="str">
        <f ca="1">IFERROR(IF(INDEX(MO_Common_QEndDate,0,COLUMN())&gt;TODAY(),FDS(MO.ReportCurrency&amp;HP.TradeCurrency,"FG_PRICE(NOW)"),FDS(MO.ReportCurrency&amp;HP.TradeCurrency,"P_PRICE_AVG("&amp;INDEX(MO_SNA_FPStartDate,0,COLUMN())&amp;","&amp;INDEX(MO_Common_QEndDate,0,COLUMN())&amp;",,,,0)")),"N/A")</f>
        <v>N/A</v>
      </c>
      <c r="BE1128" s="602" t="str">
        <f ca="1">IFERROR(IF(INDEX(MO_Common_QEndDate,0,COLUMN())&gt;TODAY(),FDS(MO.ReportCurrency&amp;HP.TradeCurrency,"FG_PRICE(NOW)"),FDS(MO.ReportCurrency&amp;HP.TradeCurrency,"P_PRICE_AVG("&amp;INDEX(MO_SNA_FPStartDate,0,COLUMN())&amp;","&amp;INDEX(MO_Common_QEndDate,0,COLUMN())&amp;",,,,0)")),"N/A")</f>
        <v>N/A</v>
      </c>
      <c r="BF1128" s="602" t="str">
        <f ca="1">IFERROR(IF(INDEX(MO_Common_QEndDate,0,COLUMN())&gt;TODAY(),FDS(MO.ReportCurrency&amp;HP.TradeCurrency,"FG_PRICE(NOW)"),FDS(MO.ReportCurrency&amp;HP.TradeCurrency,"P_PRICE_AVG("&amp;INDEX(MO_SNA_FPStartDate,0,COLUMN())&amp;","&amp;INDEX(MO_Common_QEndDate,0,COLUMN())&amp;",,,,0)")),"N/A")</f>
        <v>N/A</v>
      </c>
      <c r="BG1128" s="602" t="str">
        <f ca="1">IFERROR(IF(INDEX(MO_Common_QEndDate,0,COLUMN())&gt;TODAY(),FDS(MO.ReportCurrency&amp;HP.TradeCurrency,"FG_PRICE(NOW)"),FDS(MO.ReportCurrency&amp;HP.TradeCurrency,"P_PRICE_AVG("&amp;INDEX(MO_SNA_FPStartDate,0,COLUMN())&amp;","&amp;INDEX(MO_Common_QEndDate,0,COLUMN())&amp;",,,,0)")),"N/A")</f>
        <v>N/A</v>
      </c>
      <c r="BH1128" s="603" t="str">
        <f ca="1">IFERROR(IF(INDEX(MO_Common_QEndDate,0,COLUMN())&gt;TODAY(),FDS(MO.ReportCurrency&amp;HP.TradeCurrency,"FG_PRICE(NOW)"),FDS(MO.ReportCurrency&amp;HP.TradeCurrency,"P_PRICE_AVG("&amp;INDEX(MO_SNA_FPStartDate,0,COLUMN())&amp;","&amp;INDEX(MO_Common_QEndDate,0,COLUMN())&amp;",,,,0)")),"N/A")</f>
        <v>N/A</v>
      </c>
      <c r="BI1128" s="602" t="str">
        <f ca="1">IFERROR(IF(INDEX(MO_Common_QEndDate,0,COLUMN())&gt;TODAY(),FDS(MO.ReportCurrency&amp;HP.TradeCurrency,"FG_PRICE(NOW)"),FDS(MO.ReportCurrency&amp;HP.TradeCurrency,"P_PRICE_AVG("&amp;INDEX(MO_SNA_FPStartDate,0,COLUMN())&amp;","&amp;INDEX(MO_Common_QEndDate,0,COLUMN())&amp;",,,,0)")),"N/A")</f>
        <v>N/A</v>
      </c>
      <c r="BJ1128" s="602" t="str">
        <f ca="1">IFERROR(IF(INDEX(MO_Common_QEndDate,0,COLUMN())&gt;TODAY(),FDS(MO.ReportCurrency&amp;HP.TradeCurrency,"FG_PRICE(NOW)"),FDS(MO.ReportCurrency&amp;HP.TradeCurrency,"P_PRICE_AVG("&amp;INDEX(MO_SNA_FPStartDate,0,COLUMN())&amp;","&amp;INDEX(MO_Common_QEndDate,0,COLUMN())&amp;",,,,0)")),"N/A")</f>
        <v>N/A</v>
      </c>
      <c r="BK1128" s="602" t="str">
        <f ca="1">IFERROR(IF(INDEX(MO_Common_QEndDate,0,COLUMN())&gt;TODAY(),FDS(MO.ReportCurrency&amp;HP.TradeCurrency,"FG_PRICE(NOW)"),FDS(MO.ReportCurrency&amp;HP.TradeCurrency,"P_PRICE_AVG("&amp;INDEX(MO_SNA_FPStartDate,0,COLUMN())&amp;","&amp;INDEX(MO_Common_QEndDate,0,COLUMN())&amp;",,,,0)")),"N/A")</f>
        <v>N/A</v>
      </c>
      <c r="BL1128" s="602" t="str">
        <f ca="1">IFERROR(IF(INDEX(MO_Common_QEndDate,0,COLUMN())&gt;TODAY(),FDS(MO.ReportCurrency&amp;HP.TradeCurrency,"FG_PRICE(NOW)"),FDS(MO.ReportCurrency&amp;HP.TradeCurrency,"P_PRICE_AVG("&amp;INDEX(MO_SNA_FPStartDate,0,COLUMN())&amp;","&amp;INDEX(MO_Common_QEndDate,0,COLUMN())&amp;",,,,0)")),"N/A")</f>
        <v>N/A</v>
      </c>
      <c r="BM1128" s="602" t="str">
        <f ca="1">IFERROR(IF(INDEX(MO_Common_QEndDate,0,COLUMN())&gt;TODAY(),FDS(MO.ReportCurrency&amp;HP.TradeCurrency,"FG_PRICE(NOW)"),FDS(MO.ReportCurrency&amp;HP.TradeCurrency,"P_PRICE_AVG("&amp;INDEX(MO_SNA_FPStartDate,0,COLUMN())&amp;","&amp;INDEX(MO_Common_QEndDate,0,COLUMN())&amp;",,,,0)")),"N/A")</f>
        <v>N/A</v>
      </c>
      <c r="BN1128" s="602" t="str">
        <f ca="1">IFERROR(IF(INDEX(MO_Common_QEndDate,0,COLUMN())&gt;TODAY(),FDS(MO.ReportCurrency&amp;HP.TradeCurrency,"FG_PRICE(NOW)"),FDS(MO.ReportCurrency&amp;HP.TradeCurrency,"P_PRICE_AVG("&amp;INDEX(MO_SNA_FPStartDate,0,COLUMN())&amp;","&amp;INDEX(MO_Common_QEndDate,0,COLUMN())&amp;",,,,0)")),"N/A")</f>
        <v>N/A</v>
      </c>
      <c r="BO1128" s="602" t="str">
        <f ca="1">IFERROR(IF(INDEX(MO_Common_QEndDate,0,COLUMN())&gt;TODAY(),FDS(MO.ReportCurrency&amp;HP.TradeCurrency,"FG_PRICE(NOW)"),FDS(MO.ReportCurrency&amp;HP.TradeCurrency,"P_PRICE_AVG("&amp;INDEX(MO_SNA_FPStartDate,0,COLUMN())&amp;","&amp;INDEX(MO_Common_QEndDate,0,COLUMN())&amp;",,,,0)")),"N/A")</f>
        <v>N/A</v>
      </c>
      <c r="BP1128" s="602" t="str">
        <f ca="1">IFERROR(IF(INDEX(MO_Common_QEndDate,0,COLUMN())&gt;TODAY(),FDS(MO.ReportCurrency&amp;HP.TradeCurrency,"FG_PRICE(NOW)"),FDS(MO.ReportCurrency&amp;HP.TradeCurrency,"P_PRICE_AVG("&amp;INDEX(MO_SNA_FPStartDate,0,COLUMN())&amp;","&amp;INDEX(MO_Common_QEndDate,0,COLUMN())&amp;",,,,0)")),"N/A")</f>
        <v>N/A</v>
      </c>
      <c r="BQ1128" s="602" t="str">
        <f ca="1">IFERROR(IF(INDEX(MO_Common_QEndDate,0,COLUMN())&gt;TODAY(),FDS(MO.ReportCurrency&amp;HP.TradeCurrency,"FG_PRICE(NOW)"),FDS(MO.ReportCurrency&amp;HP.TradeCurrency,"P_PRICE_AVG("&amp;INDEX(MO_SNA_FPStartDate,0,COLUMN())&amp;","&amp;INDEX(MO_Common_QEndDate,0,COLUMN())&amp;",,,,0)")),"N/A")</f>
        <v>N/A</v>
      </c>
      <c r="BR1128" s="604" t="str">
        <f ca="1">IFERROR(IF(INDEX(MO_Common_QEndDate,0,COLUMN())&gt;TODAY(),FDS(MO.ReportCurrency&amp;HP.TradeCurrency,"FG_PRICE(NOW)"),FDS(MO.ReportCurrency&amp;HP.TradeCurrency,"P_PRICE_AVG("&amp;INDEX(MO_SNA_FPStartDate,0,COLUMN())&amp;","&amp;INDEX(MO_Common_QEndDate,0,COLUMN())&amp;",,,,0)")),"N/A")</f>
        <v>N/A</v>
      </c>
      <c r="BS1128" s="356"/>
    </row>
    <row r="1129" spans="1:71" s="326" customFormat="1" ht="15" hidden="1" outlineLevel="1">
      <c r="A1129" s="327" t="s">
        <v>654</v>
      </c>
      <c r="B1129" s="602"/>
      <c r="C1129" s="601" t="str">
        <f t="shared" si="2738" ref="C1129:AP1129">"N/A"</f>
        <v>N/A</v>
      </c>
      <c r="D1129" s="601" t="str">
        <f t="shared" si="2738"/>
        <v>N/A</v>
      </c>
      <c r="E1129" s="602" t="str">
        <f t="shared" si="2738"/>
        <v>N/A</v>
      </c>
      <c r="F1129" s="602" t="str">
        <f t="shared" si="2738"/>
        <v>N/A</v>
      </c>
      <c r="G1129" s="602" t="str">
        <f t="shared" si="2738"/>
        <v>N/A</v>
      </c>
      <c r="H1129" s="602" t="str">
        <f t="shared" si="2738"/>
        <v>N/A</v>
      </c>
      <c r="I1129" s="602" t="str">
        <f t="shared" si="2738"/>
        <v>N/A</v>
      </c>
      <c r="J1129" s="602" t="str">
        <f t="shared" si="2738"/>
        <v>N/A</v>
      </c>
      <c r="K1129" s="602" t="str">
        <f t="shared" si="2738"/>
        <v>N/A</v>
      </c>
      <c r="L1129" s="602" t="str">
        <f t="shared" si="2738"/>
        <v>N/A</v>
      </c>
      <c r="M1129" s="602" t="str">
        <f t="shared" si="2738"/>
        <v>N/A</v>
      </c>
      <c r="N1129" s="602" t="str">
        <f t="shared" si="2738"/>
        <v>N/A</v>
      </c>
      <c r="O1129" s="602" t="str">
        <f t="shared" si="2738"/>
        <v>N/A</v>
      </c>
      <c r="P1129" s="602" t="str">
        <f t="shared" si="2738"/>
        <v>N/A</v>
      </c>
      <c r="Q1129" s="602" t="str">
        <f t="shared" si="2738"/>
        <v>N/A</v>
      </c>
      <c r="R1129" s="602" t="str">
        <f t="shared" si="2738"/>
        <v>N/A</v>
      </c>
      <c r="S1129" s="602" t="str">
        <f t="shared" si="2738"/>
        <v>N/A</v>
      </c>
      <c r="T1129" s="602" t="str">
        <f t="shared" si="2738"/>
        <v>N/A</v>
      </c>
      <c r="U1129" s="602" t="str">
        <f t="shared" si="2738"/>
        <v>N/A</v>
      </c>
      <c r="V1129" s="602" t="str">
        <f t="shared" si="2738"/>
        <v>N/A</v>
      </c>
      <c r="W1129" s="602" t="str">
        <f t="shared" si="2738"/>
        <v>N/A</v>
      </c>
      <c r="X1129" s="602" t="str">
        <f t="shared" si="2738"/>
        <v>N/A</v>
      </c>
      <c r="Y1129" s="602" t="str">
        <f t="shared" si="2738"/>
        <v>N/A</v>
      </c>
      <c r="Z1129" s="602" t="str">
        <f t="shared" si="2738"/>
        <v>N/A</v>
      </c>
      <c r="AA1129" s="602" t="str">
        <f t="shared" si="2738"/>
        <v>N/A</v>
      </c>
      <c r="AB1129" s="602" t="str">
        <f t="shared" si="2738"/>
        <v>N/A</v>
      </c>
      <c r="AC1129" s="602" t="str">
        <f t="shared" si="2738"/>
        <v>N/A</v>
      </c>
      <c r="AD1129" s="602" t="str">
        <f t="shared" si="2738"/>
        <v>N/A</v>
      </c>
      <c r="AE1129" s="602" t="str">
        <f t="shared" si="2738"/>
        <v>N/A</v>
      </c>
      <c r="AF1129" s="602" t="str">
        <f t="shared" si="2738"/>
        <v>N/A</v>
      </c>
      <c r="AG1129" s="602" t="str">
        <f t="shared" si="2738"/>
        <v>N/A</v>
      </c>
      <c r="AH1129" s="602" t="str">
        <f t="shared" si="2738"/>
        <v>N/A</v>
      </c>
      <c r="AI1129" s="602" t="str">
        <f t="shared" si="2738"/>
        <v>N/A</v>
      </c>
      <c r="AJ1129" s="602" t="str">
        <f t="shared" si="2738"/>
        <v>N/A</v>
      </c>
      <c r="AK1129" s="602" t="str">
        <f t="shared" si="2738"/>
        <v>N/A</v>
      </c>
      <c r="AL1129" s="602" t="str">
        <f>"N/A"</f>
        <v>N/A</v>
      </c>
      <c r="AM1129" s="602" t="str">
        <f>"N/A"</f>
        <v>N/A</v>
      </c>
      <c r="AN1129" s="602" t="str">
        <f>"N/A"</f>
        <v>N/A</v>
      </c>
      <c r="AO1129" s="602" t="str">
        <f t="shared" si="2738"/>
        <v>N/A</v>
      </c>
      <c r="AP1129" s="602" t="str">
        <f t="shared" si="2738"/>
        <v>N/A</v>
      </c>
      <c r="AQ1129" s="602" t="str">
        <f t="shared" si="2739" ref="AQ1129:AV1129">"N/A"</f>
        <v>N/A</v>
      </c>
      <c r="AR1129" s="602" t="str">
        <f t="shared" si="2739"/>
        <v>N/A</v>
      </c>
      <c r="AS1129" s="602" t="str">
        <f t="shared" si="2739"/>
        <v>N/A</v>
      </c>
      <c r="AT1129" s="602" t="str">
        <f t="shared" si="2739"/>
        <v>N/A</v>
      </c>
      <c r="AU1129" s="602" t="str">
        <f t="shared" si="2739"/>
        <v>N/A</v>
      </c>
      <c r="AV1129" s="602" t="str">
        <f t="shared" si="2739"/>
        <v>N/A</v>
      </c>
      <c r="AW1129" s="602" t="str">
        <f t="shared" si="2740" ref="AW1129:BJ1129">"N/A"</f>
        <v>N/A</v>
      </c>
      <c r="AX1129" s="602" t="str">
        <f t="shared" si="2740"/>
        <v>N/A</v>
      </c>
      <c r="AY1129" s="602" t="str">
        <f t="shared" si="2740"/>
        <v>N/A</v>
      </c>
      <c r="AZ1129" s="602" t="str">
        <f t="shared" si="2740"/>
        <v>N/A</v>
      </c>
      <c r="BA1129" s="602" t="str">
        <f t="shared" si="2741" ref="BA1129:BI1129">"N/A"</f>
        <v>N/A</v>
      </c>
      <c r="BB1129" s="602" t="str">
        <f t="shared" si="2741"/>
        <v>N/A</v>
      </c>
      <c r="BC1129" s="602" t="str">
        <f t="shared" si="2741"/>
        <v>N/A</v>
      </c>
      <c r="BD1129" s="602" t="str">
        <f t="shared" si="2741"/>
        <v>N/A</v>
      </c>
      <c r="BE1129" s="602" t="str">
        <f t="shared" si="2741"/>
        <v>N/A</v>
      </c>
      <c r="BF1129" s="602" t="str">
        <f>"N/A"</f>
        <v>N/A</v>
      </c>
      <c r="BG1129" s="602" t="str">
        <f>"N/A"</f>
        <v>N/A</v>
      </c>
      <c r="BH1129" s="603" t="str">
        <f>"N/A"</f>
        <v>N/A</v>
      </c>
      <c r="BI1129" s="602" t="str">
        <f t="shared" si="2741"/>
        <v>N/A</v>
      </c>
      <c r="BJ1129" s="602" t="str">
        <f t="shared" si="2740"/>
        <v>N/A</v>
      </c>
      <c r="BK1129" s="602" t="str">
        <f t="shared" si="2742" ref="BK1129:BR1129">"N/A"</f>
        <v>N/A</v>
      </c>
      <c r="BL1129" s="602" t="str">
        <f t="shared" si="2742"/>
        <v>N/A</v>
      </c>
      <c r="BM1129" s="602" t="str">
        <f t="shared" si="2742"/>
        <v>N/A</v>
      </c>
      <c r="BN1129" s="602" t="str">
        <f t="shared" si="2742"/>
        <v>N/A</v>
      </c>
      <c r="BO1129" s="602" t="str">
        <f t="shared" si="2742"/>
        <v>N/A</v>
      </c>
      <c r="BP1129" s="602" t="str">
        <f t="shared" si="2742"/>
        <v>N/A</v>
      </c>
      <c r="BQ1129" s="602" t="str">
        <f t="shared" si="2742"/>
        <v>N/A</v>
      </c>
      <c r="BR1129" s="604" t="str">
        <f t="shared" si="2742"/>
        <v>N/A</v>
      </c>
      <c r="BS1129" s="356"/>
    </row>
    <row r="1130" spans="1:71" s="22" customFormat="1" ht="15" hidden="1" outlineLevel="1" collapsed="1">
      <c r="A1130" s="298"/>
      <c r="B1130" s="819"/>
      <c r="C1130" s="312"/>
      <c r="D1130" s="312"/>
      <c r="E1130" s="819"/>
      <c r="F1130" s="819"/>
      <c r="G1130" s="819"/>
      <c r="H1130" s="819"/>
      <c r="I1130" s="819"/>
      <c r="J1130" s="819"/>
      <c r="K1130" s="819"/>
      <c r="L1130" s="819"/>
      <c r="M1130" s="819"/>
      <c r="N1130" s="819"/>
      <c r="O1130" s="819"/>
      <c r="P1130" s="819"/>
      <c r="Q1130" s="819"/>
      <c r="R1130" s="819"/>
      <c r="S1130" s="819"/>
      <c r="T1130" s="819"/>
      <c r="U1130" s="819"/>
      <c r="V1130" s="819"/>
      <c r="W1130" s="819"/>
      <c r="X1130" s="819"/>
      <c r="Y1130" s="819"/>
      <c r="Z1130" s="819"/>
      <c r="AA1130" s="819"/>
      <c r="AB1130" s="819"/>
      <c r="AC1130" s="819"/>
      <c r="AD1130" s="819"/>
      <c r="AE1130" s="819"/>
      <c r="AF1130" s="819"/>
      <c r="AG1130" s="819"/>
      <c r="AH1130" s="819"/>
      <c r="AI1130" s="819"/>
      <c r="AJ1130" s="819"/>
      <c r="AK1130" s="819"/>
      <c r="AL1130" s="819"/>
      <c r="AM1130" s="819"/>
      <c r="AN1130" s="819"/>
      <c r="AO1130" s="819"/>
      <c r="AP1130" s="819"/>
      <c r="AQ1130" s="819"/>
      <c r="AR1130" s="819"/>
      <c r="AS1130" s="819"/>
      <c r="AT1130" s="819"/>
      <c r="AU1130" s="819"/>
      <c r="AV1130" s="819"/>
      <c r="AW1130" s="819"/>
      <c r="AX1130" s="819"/>
      <c r="AY1130" s="819"/>
      <c r="AZ1130" s="819"/>
      <c r="BA1130" s="819"/>
      <c r="BB1130" s="819"/>
      <c r="BC1130" s="819"/>
      <c r="BD1130" s="819"/>
      <c r="BE1130" s="819"/>
      <c r="BF1130" s="819"/>
      <c r="BG1130" s="819"/>
      <c r="BH1130" s="820"/>
      <c r="BI1130" s="819"/>
      <c r="BJ1130" s="819"/>
      <c r="BK1130" s="819"/>
      <c r="BL1130" s="819"/>
      <c r="BM1130" s="819"/>
      <c r="BN1130" s="819"/>
      <c r="BO1130" s="819"/>
      <c r="BP1130" s="819"/>
      <c r="BQ1130" s="819"/>
      <c r="BR1130" s="297"/>
      <c r="BS1130" s="351"/>
    </row>
    <row r="1131" spans="1:71" s="22" customFormat="1" ht="15" collapsed="1">
      <c r="A1131" s="298" t="s">
        <v>879</v>
      </c>
      <c r="B1131" s="819"/>
      <c r="C1131" s="594">
        <f t="shared" si="2743" ref="C1131:AH1131">WORKDAY(INDEX(MO_Common_QEndDate,0,COLUMN()),-1)</f>
        <v>40177</v>
      </c>
      <c r="D1131" s="594">
        <f t="shared" si="2743"/>
        <v>40542</v>
      </c>
      <c r="E1131" s="595">
        <f t="shared" si="2743"/>
        <v>40907</v>
      </c>
      <c r="F1131" s="595">
        <f t="shared" si="2743"/>
        <v>41271</v>
      </c>
      <c r="G1131" s="595">
        <f t="shared" si="2743"/>
        <v>41638</v>
      </c>
      <c r="H1131" s="595">
        <f t="shared" si="2743"/>
        <v>41726</v>
      </c>
      <c r="I1131" s="595">
        <f t="shared" si="2743"/>
        <v>41817</v>
      </c>
      <c r="J1131" s="595">
        <f t="shared" si="2743"/>
        <v>41911</v>
      </c>
      <c r="K1131" s="595">
        <f t="shared" si="2743"/>
        <v>42003</v>
      </c>
      <c r="L1131" s="595">
        <f t="shared" si="2743"/>
        <v>42003</v>
      </c>
      <c r="M1131" s="595">
        <f t="shared" si="2743"/>
        <v>42093</v>
      </c>
      <c r="N1131" s="595">
        <f t="shared" si="2743"/>
        <v>42184</v>
      </c>
      <c r="O1131" s="595">
        <f t="shared" si="2743"/>
        <v>42276</v>
      </c>
      <c r="P1131" s="595">
        <f t="shared" si="2743"/>
        <v>42368</v>
      </c>
      <c r="Q1131" s="595">
        <f t="shared" si="2743"/>
        <v>42368</v>
      </c>
      <c r="R1131" s="595">
        <f t="shared" si="2743"/>
        <v>42459</v>
      </c>
      <c r="S1131" s="595">
        <f t="shared" si="2743"/>
        <v>42550</v>
      </c>
      <c r="T1131" s="595">
        <f t="shared" si="2743"/>
        <v>42642</v>
      </c>
      <c r="U1131" s="595">
        <f t="shared" si="2743"/>
        <v>42734</v>
      </c>
      <c r="V1131" s="595">
        <f t="shared" si="2743"/>
        <v>42734</v>
      </c>
      <c r="W1131" s="595">
        <f t="shared" si="2743"/>
        <v>42824</v>
      </c>
      <c r="X1131" s="595">
        <f t="shared" si="2743"/>
        <v>42915</v>
      </c>
      <c r="Y1131" s="595">
        <f t="shared" si="2743"/>
        <v>43007</v>
      </c>
      <c r="Z1131" s="595">
        <f t="shared" si="2743"/>
        <v>43098</v>
      </c>
      <c r="AA1131" s="595">
        <f t="shared" si="2743"/>
        <v>43098</v>
      </c>
      <c r="AB1131" s="595">
        <f t="shared" si="2743"/>
        <v>43189</v>
      </c>
      <c r="AC1131" s="595">
        <f t="shared" si="2743"/>
        <v>43280</v>
      </c>
      <c r="AD1131" s="595">
        <f t="shared" si="2743"/>
        <v>43371</v>
      </c>
      <c r="AE1131" s="595">
        <f t="shared" si="2743"/>
        <v>43462</v>
      </c>
      <c r="AF1131" s="595">
        <f t="shared" si="2743"/>
        <v>43462</v>
      </c>
      <c r="AG1131" s="595">
        <f t="shared" si="2743"/>
        <v>43553</v>
      </c>
      <c r="AH1131" s="595">
        <f t="shared" si="2743"/>
        <v>43644</v>
      </c>
      <c r="AI1131" s="595">
        <f t="shared" si="2744" ref="AI1131:AV1131">WORKDAY(INDEX(MO_Common_QEndDate,0,COLUMN()),-1)</f>
        <v>43735</v>
      </c>
      <c r="AJ1131" s="595">
        <f t="shared" si="2744"/>
        <v>43829</v>
      </c>
      <c r="AK1131" s="595">
        <f t="shared" si="2744"/>
        <v>43829</v>
      </c>
      <c r="AL1131" s="595">
        <f t="shared" si="2744"/>
        <v>43920</v>
      </c>
      <c r="AM1131" s="595">
        <f t="shared" si="2744"/>
        <v>44011</v>
      </c>
      <c r="AN1131" s="595">
        <f t="shared" si="2744"/>
        <v>44103</v>
      </c>
      <c r="AO1131" s="595">
        <f t="shared" si="2744"/>
        <v>44195</v>
      </c>
      <c r="AP1131" s="595">
        <f t="shared" si="2744"/>
        <v>44195</v>
      </c>
      <c r="AQ1131" s="595">
        <f t="shared" si="2744"/>
        <v>44285</v>
      </c>
      <c r="AR1131" s="595">
        <f t="shared" si="2744"/>
        <v>44376</v>
      </c>
      <c r="AS1131" s="595">
        <f t="shared" si="2744"/>
        <v>44468</v>
      </c>
      <c r="AT1131" s="595">
        <f t="shared" si="2744"/>
        <v>44560</v>
      </c>
      <c r="AU1131" s="595">
        <f t="shared" si="2744"/>
        <v>44560</v>
      </c>
      <c r="AV1131" s="595">
        <f t="shared" si="2744"/>
        <v>44650</v>
      </c>
      <c r="AW1131" s="595">
        <f t="shared" si="2745" ref="AW1131:AZ1131">WORKDAY(INDEX(MO_Common_QEndDate,0,COLUMN()),-1)</f>
        <v>44741</v>
      </c>
      <c r="AX1131" s="595">
        <f t="shared" si="2745"/>
        <v>44833</v>
      </c>
      <c r="AY1131" s="595">
        <f t="shared" si="2745"/>
        <v>44925</v>
      </c>
      <c r="AZ1131" s="595">
        <f t="shared" si="2745"/>
        <v>44925</v>
      </c>
      <c r="BA1131" s="595">
        <f t="shared" si="2746" ref="BA1131:BR1131">WORKDAY(INDEX(MO_Common_QEndDate,0,COLUMN()),-1)</f>
        <v>45015</v>
      </c>
      <c r="BB1131" s="595">
        <f t="shared" si="2746"/>
        <v>45106</v>
      </c>
      <c r="BC1131" s="595">
        <f t="shared" si="2746"/>
        <v>45198</v>
      </c>
      <c r="BD1131" s="595">
        <f t="shared" si="2746"/>
        <v>45289</v>
      </c>
      <c r="BE1131" s="595">
        <f t="shared" si="2746"/>
        <v>45289</v>
      </c>
      <c r="BF1131" s="595">
        <f>WORKDAY(INDEX(MO_Common_QEndDate,0,COLUMN()),-1)</f>
        <v>45380</v>
      </c>
      <c r="BG1131" s="595">
        <f>WORKDAY(INDEX(MO_Common_QEndDate,0,COLUMN()),-1)</f>
        <v>45471</v>
      </c>
      <c r="BH1131" s="596">
        <f>WORKDAY(INDEX(MO_Common_QEndDate,0,COLUMN()),-1)</f>
        <v>45562</v>
      </c>
      <c r="BI1131" s="595">
        <f t="shared" si="2746"/>
        <v>45656</v>
      </c>
      <c r="BJ1131" s="595">
        <f t="shared" si="2746"/>
        <v>45656</v>
      </c>
      <c r="BK1131" s="595">
        <f t="shared" si="2746"/>
        <v>45744</v>
      </c>
      <c r="BL1131" s="595">
        <f t="shared" si="2746"/>
        <v>45835</v>
      </c>
      <c r="BM1131" s="595">
        <f t="shared" si="2746"/>
        <v>45929</v>
      </c>
      <c r="BN1131" s="595">
        <f t="shared" si="2746"/>
        <v>46021</v>
      </c>
      <c r="BO1131" s="595">
        <f t="shared" si="2746"/>
        <v>46021</v>
      </c>
      <c r="BP1131" s="595">
        <f t="shared" si="2746"/>
        <v>46386</v>
      </c>
      <c r="BQ1131" s="595">
        <f t="shared" si="2746"/>
        <v>46751</v>
      </c>
      <c r="BR1131" s="597">
        <f t="shared" si="2746"/>
        <v>47116</v>
      </c>
      <c r="BS1131" s="351"/>
    </row>
    <row r="1132" spans="1:71" s="22" customFormat="1" ht="15" collapsed="1">
      <c r="A1132" s="298" t="s">
        <v>880</v>
      </c>
      <c r="B1132" s="819"/>
      <c r="C1132" s="961">
        <v>30.53</v>
      </c>
      <c r="D1132" s="961">
        <v>31.80</v>
      </c>
      <c r="E1132" s="962">
        <v>27.41</v>
      </c>
      <c r="F1132" s="962">
        <v>39.86</v>
      </c>
      <c r="G1132" s="962">
        <v>54.23</v>
      </c>
      <c r="H1132" s="962">
        <v>55.80</v>
      </c>
      <c r="I1132" s="962">
        <v>58.69</v>
      </c>
      <c r="J1132" s="962">
        <v>61.29</v>
      </c>
      <c r="K1132" s="962">
        <v>70.94</v>
      </c>
      <c r="L1132" s="962">
        <v>70.94</v>
      </c>
      <c r="M1132" s="962">
        <v>70.95</v>
      </c>
      <c r="N1132" s="962">
        <v>64.680000000000007</v>
      </c>
      <c r="O1132" s="962">
        <v>58.36</v>
      </c>
      <c r="P1132" s="962">
        <v>62.81</v>
      </c>
      <c r="Q1132" s="962">
        <v>62.81</v>
      </c>
      <c r="R1132" s="962">
        <v>67.72</v>
      </c>
      <c r="S1132" s="962">
        <v>68.47</v>
      </c>
      <c r="T1132" s="962">
        <v>68.64</v>
      </c>
      <c r="U1132" s="962">
        <v>74.120000000000005</v>
      </c>
      <c r="V1132" s="962">
        <v>74.120000000000005</v>
      </c>
      <c r="W1132" s="962">
        <v>81.64</v>
      </c>
      <c r="X1132" s="962">
        <v>88.13</v>
      </c>
      <c r="Y1132" s="962">
        <v>91.91</v>
      </c>
      <c r="Z1132" s="962">
        <v>104.70999999999999</v>
      </c>
      <c r="AA1132" s="962">
        <v>104.70999999999999</v>
      </c>
      <c r="AB1132" s="962">
        <v>94.80</v>
      </c>
      <c r="AC1132" s="962">
        <v>91.27</v>
      </c>
      <c r="AD1132" s="962">
        <v>98.70</v>
      </c>
      <c r="AE1132" s="962">
        <v>82.02</v>
      </c>
      <c r="AF1132" s="962">
        <v>82.02</v>
      </c>
      <c r="AG1132" s="962">
        <v>94.18</v>
      </c>
      <c r="AH1132" s="962">
        <v>101.69</v>
      </c>
      <c r="AI1132" s="962">
        <v>107.83</v>
      </c>
      <c r="AJ1132" s="962">
        <v>111.77</v>
      </c>
      <c r="AK1132" s="962">
        <v>111.77</v>
      </c>
      <c r="AL1132" s="962">
        <v>94.64</v>
      </c>
      <c r="AM1132" s="962">
        <v>95.44</v>
      </c>
      <c r="AN1132" s="962">
        <v>93.44</v>
      </c>
      <c r="AO1132" s="962">
        <v>108.15000000000001</v>
      </c>
      <c r="AP1132" s="962">
        <v>108.15000000000001</v>
      </c>
      <c r="AQ1132" s="962">
        <v>117.11</v>
      </c>
      <c r="AR1132" s="962">
        <v>129.56999999999999</v>
      </c>
      <c r="AS1132" s="962">
        <v>129.33000000000001</v>
      </c>
      <c r="AT1132" s="962">
        <v>117.68000000000001</v>
      </c>
      <c r="AU1132" s="962">
        <v>117.68000000000001</v>
      </c>
      <c r="AV1132" s="962">
        <v>140.38999999999999</v>
      </c>
      <c r="AW1132" s="962">
        <v>125.42</v>
      </c>
      <c r="AX1132" s="962">
        <v>126.13</v>
      </c>
      <c r="AY1132" s="962">
        <v>135.59999999999999</v>
      </c>
      <c r="AZ1132" s="962">
        <v>135.59999999999999</v>
      </c>
      <c r="BA1132" s="962">
        <v>109.09</v>
      </c>
      <c r="BB1132" s="962">
        <v>109.09</v>
      </c>
      <c r="BC1132" s="962">
        <v>111.41</v>
      </c>
      <c r="BD1132" s="962">
        <v>139.97999999999999</v>
      </c>
      <c r="BE1132" s="962">
        <v>139.97999999999999</v>
      </c>
      <c r="BF1132" s="962">
        <v>173.01</v>
      </c>
      <c r="BG1132" s="962">
        <v>159.66</v>
      </c>
      <c r="BH1132" s="963">
        <v>188.36</v>
      </c>
      <c r="BI1132" s="599"/>
      <c r="BJ1132" s="599"/>
      <c r="BK1132" s="599"/>
      <c r="BL1132" s="599"/>
      <c r="BM1132" s="599"/>
      <c r="BN1132" s="599"/>
      <c r="BO1132" s="599"/>
      <c r="BP1132" s="599"/>
      <c r="BQ1132" s="599"/>
      <c r="BR1132" s="600"/>
      <c r="BS1132" s="351"/>
    </row>
    <row r="1133" spans="1:71" s="22" customFormat="1" ht="15" collapsed="1">
      <c r="A1133" s="298" t="s">
        <v>881</v>
      </c>
      <c r="B1133" s="819"/>
      <c r="C1133" s="958">
        <v>1</v>
      </c>
      <c r="D1133" s="958">
        <v>1</v>
      </c>
      <c r="E1133" s="959">
        <v>1</v>
      </c>
      <c r="F1133" s="959">
        <v>1</v>
      </c>
      <c r="G1133" s="959">
        <v>1</v>
      </c>
      <c r="H1133" s="959">
        <v>1</v>
      </c>
      <c r="I1133" s="959">
        <v>1</v>
      </c>
      <c r="J1133" s="959">
        <v>1</v>
      </c>
      <c r="K1133" s="959">
        <v>1</v>
      </c>
      <c r="L1133" s="959">
        <v>1</v>
      </c>
      <c r="M1133" s="959">
        <v>1</v>
      </c>
      <c r="N1133" s="959">
        <v>1</v>
      </c>
      <c r="O1133" s="959">
        <v>1</v>
      </c>
      <c r="P1133" s="959">
        <v>1</v>
      </c>
      <c r="Q1133" s="959">
        <v>1</v>
      </c>
      <c r="R1133" s="959">
        <v>1</v>
      </c>
      <c r="S1133" s="959">
        <v>1</v>
      </c>
      <c r="T1133" s="959">
        <v>1</v>
      </c>
      <c r="U1133" s="959">
        <v>1</v>
      </c>
      <c r="V1133" s="959">
        <v>1</v>
      </c>
      <c r="W1133" s="959">
        <v>1</v>
      </c>
      <c r="X1133" s="959">
        <v>1</v>
      </c>
      <c r="Y1133" s="959">
        <v>1</v>
      </c>
      <c r="Z1133" s="959">
        <v>1</v>
      </c>
      <c r="AA1133" s="959">
        <v>1</v>
      </c>
      <c r="AB1133" s="959">
        <v>1</v>
      </c>
      <c r="AC1133" s="959">
        <v>1</v>
      </c>
      <c r="AD1133" s="959">
        <v>1</v>
      </c>
      <c r="AE1133" s="959">
        <v>1</v>
      </c>
      <c r="AF1133" s="959">
        <v>1</v>
      </c>
      <c r="AG1133" s="959">
        <v>1</v>
      </c>
      <c r="AH1133" s="959">
        <v>1</v>
      </c>
      <c r="AI1133" s="959">
        <v>1</v>
      </c>
      <c r="AJ1133" s="959">
        <v>1</v>
      </c>
      <c r="AK1133" s="959">
        <v>1</v>
      </c>
      <c r="AL1133" s="959">
        <v>1</v>
      </c>
      <c r="AM1133" s="959">
        <v>1</v>
      </c>
      <c r="AN1133" s="959">
        <v>1</v>
      </c>
      <c r="AO1133" s="959">
        <v>1</v>
      </c>
      <c r="AP1133" s="959">
        <v>1</v>
      </c>
      <c r="AQ1133" s="959">
        <v>1</v>
      </c>
      <c r="AR1133" s="959">
        <v>1</v>
      </c>
      <c r="AS1133" s="959">
        <v>1</v>
      </c>
      <c r="AT1133" s="959">
        <v>1</v>
      </c>
      <c r="AU1133" s="959">
        <v>1</v>
      </c>
      <c r="AV1133" s="959">
        <v>1</v>
      </c>
      <c r="AW1133" s="959">
        <v>1</v>
      </c>
      <c r="AX1133" s="959">
        <v>1</v>
      </c>
      <c r="AY1133" s="959">
        <v>1</v>
      </c>
      <c r="AZ1133" s="959">
        <v>1</v>
      </c>
      <c r="BA1133" s="959">
        <v>1</v>
      </c>
      <c r="BB1133" s="959">
        <v>1</v>
      </c>
      <c r="BC1133" s="959">
        <v>1</v>
      </c>
      <c r="BD1133" s="959">
        <v>1</v>
      </c>
      <c r="BE1133" s="959">
        <v>1</v>
      </c>
      <c r="BF1133" s="959">
        <v>1</v>
      </c>
      <c r="BG1133" s="959">
        <v>1</v>
      </c>
      <c r="BH1133" s="960">
        <v>1</v>
      </c>
      <c r="BI1133" s="602"/>
      <c r="BJ1133" s="602"/>
      <c r="BK1133" s="602"/>
      <c r="BL1133" s="602"/>
      <c r="BM1133" s="602"/>
      <c r="BN1133" s="602"/>
      <c r="BO1133" s="602"/>
      <c r="BP1133" s="602"/>
      <c r="BQ1133" s="602"/>
      <c r="BR1133" s="604"/>
      <c r="BS1133" s="351"/>
    </row>
    <row r="1134" spans="1:71" s="22" customFormat="1" ht="15" collapsed="1">
      <c r="A1134" s="605"/>
      <c r="B1134" s="823"/>
      <c r="C1134" s="606"/>
      <c r="D1134" s="606"/>
      <c r="E1134" s="607"/>
      <c r="F1134" s="607"/>
      <c r="G1134" s="607"/>
      <c r="H1134" s="607"/>
      <c r="I1134" s="607"/>
      <c r="J1134" s="607"/>
      <c r="K1134" s="607"/>
      <c r="L1134" s="607"/>
      <c r="M1134" s="607"/>
      <c r="N1134" s="607"/>
      <c r="O1134" s="607"/>
      <c r="P1134" s="607"/>
      <c r="Q1134" s="607"/>
      <c r="R1134" s="607"/>
      <c r="S1134" s="607"/>
      <c r="T1134" s="607"/>
      <c r="U1134" s="607"/>
      <c r="V1134" s="607"/>
      <c r="W1134" s="607"/>
      <c r="X1134" s="607"/>
      <c r="Y1134" s="607"/>
      <c r="Z1134" s="607"/>
      <c r="AA1134" s="607"/>
      <c r="AB1134" s="607"/>
      <c r="AC1134" s="607"/>
      <c r="AD1134" s="607"/>
      <c r="AE1134" s="607"/>
      <c r="AF1134" s="607"/>
      <c r="AG1134" s="607"/>
      <c r="AH1134" s="607"/>
      <c r="AI1134" s="607"/>
      <c r="AJ1134" s="607"/>
      <c r="AK1134" s="607"/>
      <c r="AL1134" s="607"/>
      <c r="AM1134" s="607"/>
      <c r="AN1134" s="607"/>
      <c r="AO1134" s="607"/>
      <c r="AP1134" s="607"/>
      <c r="AQ1134" s="607"/>
      <c r="AR1134" s="607"/>
      <c r="AS1134" s="607"/>
      <c r="AT1134" s="607"/>
      <c r="AU1134" s="607"/>
      <c r="AV1134" s="607"/>
      <c r="AW1134" s="607"/>
      <c r="AX1134" s="607"/>
      <c r="AY1134" s="607"/>
      <c r="AZ1134" s="607"/>
      <c r="BA1134" s="607"/>
      <c r="BB1134" s="607"/>
      <c r="BC1134" s="607"/>
      <c r="BD1134" s="607"/>
      <c r="BE1134" s="607"/>
      <c r="BF1134" s="607"/>
      <c r="BG1134" s="607"/>
      <c r="BH1134" s="608"/>
      <c r="BI1134" s="607"/>
      <c r="BJ1134" s="607"/>
      <c r="BK1134" s="607"/>
      <c r="BL1134" s="607"/>
      <c r="BM1134" s="607"/>
      <c r="BN1134" s="607"/>
      <c r="BO1134" s="607"/>
      <c r="BP1134" s="607"/>
      <c r="BQ1134" s="607"/>
      <c r="BR1134" s="609"/>
      <c r="BS1134" s="351"/>
    </row>
    <row r="1135" spans="1:71" s="22" customFormat="1" ht="15">
      <c r="A1135" s="352"/>
      <c r="B1135" s="353"/>
      <c r="C1135" s="314"/>
      <c r="D1135" s="314"/>
      <c r="E1135" s="313"/>
      <c r="F1135" s="313"/>
      <c r="G1135" s="313"/>
      <c r="H1135" s="313"/>
      <c r="I1135" s="313"/>
      <c r="J1135" s="313"/>
      <c r="K1135" s="313"/>
      <c r="L1135" s="313"/>
      <c r="M1135" s="313"/>
      <c r="N1135" s="313"/>
      <c r="O1135" s="313"/>
      <c r="P1135" s="313"/>
      <c r="Q1135" s="313"/>
      <c r="R1135" s="313"/>
      <c r="S1135" s="313"/>
      <c r="T1135" s="313"/>
      <c r="U1135" s="313"/>
      <c r="V1135" s="313"/>
      <c r="W1135" s="313"/>
      <c r="X1135" s="313"/>
      <c r="Y1135" s="313"/>
      <c r="Z1135" s="313"/>
      <c r="AA1135" s="313"/>
      <c r="AB1135" s="313"/>
      <c r="AC1135" s="313"/>
      <c r="AD1135" s="313"/>
      <c r="AE1135" s="313"/>
      <c r="AF1135" s="313"/>
      <c r="AG1135" s="313"/>
      <c r="AH1135" s="313"/>
      <c r="AI1135" s="313"/>
      <c r="AJ1135" s="313"/>
      <c r="AK1135" s="313"/>
      <c r="AL1135" s="313"/>
      <c r="AM1135" s="313"/>
      <c r="AN1135" s="313"/>
      <c r="AO1135" s="313"/>
      <c r="AP1135" s="313"/>
      <c r="AQ1135" s="313"/>
      <c r="AR1135" s="313"/>
      <c r="AS1135" s="313"/>
      <c r="AT1135" s="313"/>
      <c r="AU1135" s="313"/>
      <c r="AV1135" s="313"/>
      <c r="AW1135" s="313"/>
      <c r="AX1135" s="313"/>
      <c r="AY1135" s="313"/>
      <c r="AZ1135" s="313"/>
      <c r="BA1135" s="313"/>
      <c r="BB1135" s="313"/>
      <c r="BC1135" s="313"/>
      <c r="BD1135" s="313"/>
      <c r="BE1135" s="313"/>
      <c r="BF1135" s="313"/>
      <c r="BG1135" s="313"/>
      <c r="BH1135" s="453"/>
      <c r="BI1135" s="313"/>
      <c r="BJ1135" s="313"/>
      <c r="BK1135" s="313"/>
      <c r="BL1135" s="313"/>
      <c r="BM1135" s="313"/>
      <c r="BN1135" s="313"/>
      <c r="BO1135" s="313"/>
      <c r="BP1135" s="313"/>
      <c r="BQ1135" s="313"/>
      <c r="BR1135" s="313"/>
      <c r="BS1135" s="822"/>
    </row>
    <row r="1136" spans="1:71" s="22" customFormat="1" ht="15">
      <c r="A1136" s="299" t="s">
        <v>245</v>
      </c>
      <c r="B1136" s="313"/>
      <c r="C1136" s="819"/>
      <c r="D1136" s="819"/>
      <c r="E1136" s="819"/>
      <c r="F1136" s="819"/>
      <c r="G1136" s="819"/>
      <c r="H1136" s="819"/>
      <c r="I1136" s="819"/>
      <c r="J1136" s="819"/>
      <c r="K1136" s="819"/>
      <c r="L1136" s="819"/>
      <c r="M1136" s="819"/>
      <c r="N1136" s="819"/>
      <c r="O1136" s="819"/>
      <c r="P1136" s="819"/>
      <c r="Q1136" s="819"/>
      <c r="R1136" s="819"/>
      <c r="S1136" s="819"/>
      <c r="T1136" s="819"/>
      <c r="U1136" s="819"/>
      <c r="V1136" s="819"/>
      <c r="W1136" s="819"/>
      <c r="X1136" s="819"/>
      <c r="Y1136" s="819"/>
      <c r="Z1136" s="819"/>
      <c r="AA1136" s="819"/>
      <c r="AB1136" s="819"/>
      <c r="AC1136" s="819"/>
      <c r="AD1136" s="819"/>
      <c r="AE1136" s="819"/>
      <c r="AF1136" s="819"/>
      <c r="AG1136" s="819"/>
      <c r="AH1136" s="819"/>
      <c r="AI1136" s="819"/>
      <c r="AJ1136" s="819"/>
      <c r="AK1136" s="819"/>
      <c r="AL1136" s="819"/>
      <c r="AM1136" s="819"/>
      <c r="AN1136" s="819"/>
      <c r="AO1136" s="819"/>
      <c r="AP1136" s="819"/>
      <c r="AQ1136" s="819"/>
      <c r="AR1136" s="819"/>
      <c r="AS1136" s="819"/>
      <c r="AT1136" s="819"/>
      <c r="AU1136" s="819"/>
      <c r="AV1136" s="819"/>
      <c r="AW1136" s="819"/>
      <c r="AX1136" s="819"/>
      <c r="AY1136" s="819"/>
      <c r="AZ1136" s="819"/>
      <c r="BA1136" s="819"/>
      <c r="BB1136" s="819"/>
      <c r="BC1136" s="819"/>
      <c r="BD1136" s="819"/>
      <c r="BE1136" s="819"/>
      <c r="BF1136" s="819"/>
      <c r="BG1136" s="819"/>
      <c r="BH1136" s="820"/>
      <c r="BI1136" s="819"/>
      <c r="BJ1136" s="819"/>
      <c r="BK1136" s="819"/>
      <c r="BL1136" s="819"/>
      <c r="BM1136" s="819"/>
      <c r="BN1136" s="819"/>
      <c r="BO1136" s="819"/>
      <c r="BP1136" s="819"/>
      <c r="BQ1136" s="819"/>
      <c r="BR1136" s="819"/>
      <c r="BS1136" s="822"/>
    </row>
    <row r="1137" spans="1:71" s="322" customFormat="1" ht="15">
      <c r="A1137" s="328" t="s">
        <v>246</v>
      </c>
      <c r="B1137" s="319">
        <f>FP.LastPrice</f>
        <v>186.57</v>
      </c>
      <c r="C1137" s="319"/>
      <c r="D1137" s="319"/>
      <c r="E1137" s="319"/>
      <c r="F1137" s="319"/>
      <c r="G1137" s="319"/>
      <c r="H1137" s="319"/>
      <c r="I1137" s="319"/>
      <c r="J1137" s="319"/>
      <c r="K1137" s="319"/>
      <c r="L1137" s="319"/>
      <c r="M1137" s="319"/>
      <c r="N1137" s="319"/>
      <c r="O1137" s="319"/>
      <c r="P1137" s="319"/>
      <c r="Q1137" s="319"/>
      <c r="R1137" s="319"/>
      <c r="S1137" s="319"/>
      <c r="T1137" s="319"/>
      <c r="U1137" s="319"/>
      <c r="V1137" s="319"/>
      <c r="W1137" s="319"/>
      <c r="X1137" s="319"/>
      <c r="Y1137" s="319"/>
      <c r="Z1137" s="319"/>
      <c r="AA1137" s="319"/>
      <c r="AB1137" s="319"/>
      <c r="AC1137" s="319"/>
      <c r="AD1137" s="319"/>
      <c r="AE1137" s="319"/>
      <c r="AF1137" s="319"/>
      <c r="AG1137" s="319"/>
      <c r="AH1137" s="319"/>
      <c r="AI1137" s="319"/>
      <c r="AJ1137" s="319"/>
      <c r="AK1137" s="319"/>
      <c r="AL1137" s="319"/>
      <c r="AM1137" s="319"/>
      <c r="AN1137" s="319"/>
      <c r="AO1137" s="319"/>
      <c r="AP1137" s="319"/>
      <c r="AQ1137" s="319"/>
      <c r="AR1137" s="319"/>
      <c r="AS1137" s="319"/>
      <c r="AT1137" s="319"/>
      <c r="AU1137" s="319"/>
      <c r="AV1137" s="319"/>
      <c r="AW1137" s="319"/>
      <c r="AX1137" s="319"/>
      <c r="AY1137" s="319"/>
      <c r="AZ1137" s="319"/>
      <c r="BA1137" s="319"/>
      <c r="BB1137" s="319"/>
      <c r="BC1137" s="319"/>
      <c r="BD1137" s="319"/>
      <c r="BE1137" s="319"/>
      <c r="BF1137" s="319"/>
      <c r="BG1137" s="319"/>
      <c r="BH1137" s="454"/>
      <c r="BI1137" s="319"/>
      <c r="BJ1137" s="319"/>
      <c r="BK1137" s="319"/>
      <c r="BL1137" s="319"/>
      <c r="BM1137" s="319"/>
      <c r="BN1137" s="319"/>
      <c r="BO1137" s="319"/>
      <c r="BP1137" s="319"/>
      <c r="BQ1137" s="319"/>
      <c r="BR1137" s="319"/>
      <c r="BS1137" s="301"/>
    </row>
    <row r="1138" spans="1:71" ht="15">
      <c r="A1138" s="302" t="s">
        <v>247</v>
      </c>
      <c r="B1138" s="581">
        <f>FP.LastPriceDate</f>
        <v>45594</v>
      </c>
      <c r="C1138" s="472"/>
      <c r="D1138" s="472"/>
      <c r="E1138" s="472"/>
      <c r="F1138" s="472"/>
      <c r="G1138" s="472"/>
      <c r="H1138" s="472"/>
      <c r="I1138" s="472"/>
      <c r="J1138" s="472"/>
      <c r="K1138" s="472"/>
      <c r="L1138" s="472"/>
      <c r="M1138" s="472"/>
      <c r="N1138" s="472"/>
      <c r="O1138" s="472"/>
      <c r="P1138" s="472"/>
      <c r="Q1138" s="472"/>
      <c r="R1138" s="472"/>
      <c r="S1138" s="472"/>
      <c r="T1138" s="472"/>
      <c r="U1138" s="472"/>
      <c r="V1138" s="472"/>
      <c r="W1138" s="472"/>
      <c r="X1138" s="472"/>
      <c r="Y1138" s="472"/>
      <c r="Z1138" s="472"/>
      <c r="AA1138" s="472"/>
      <c r="AB1138" s="472"/>
      <c r="AC1138" s="472"/>
      <c r="AD1138" s="472"/>
      <c r="AE1138" s="472"/>
      <c r="AF1138" s="472"/>
      <c r="AG1138" s="472"/>
      <c r="AH1138" s="472"/>
      <c r="AI1138" s="472"/>
      <c r="AJ1138" s="472"/>
      <c r="AK1138" s="472"/>
      <c r="AL1138" s="472"/>
      <c r="AM1138" s="472"/>
      <c r="AN1138" s="472"/>
      <c r="AO1138" s="472"/>
      <c r="AP1138" s="472"/>
      <c r="AQ1138" s="472"/>
      <c r="AR1138" s="472"/>
      <c r="AS1138" s="472"/>
      <c r="AT1138" s="472"/>
      <c r="AU1138" s="472"/>
      <c r="AV1138" s="472"/>
      <c r="AW1138" s="472"/>
      <c r="AX1138" s="472"/>
      <c r="AY1138" s="472"/>
      <c r="AZ1138" s="472"/>
      <c r="BA1138" s="472"/>
      <c r="BB1138" s="472"/>
      <c r="BC1138" s="472"/>
      <c r="BD1138" s="472"/>
      <c r="BE1138" s="472"/>
      <c r="BF1138" s="472"/>
      <c r="BG1138" s="472"/>
      <c r="BH1138" s="473"/>
      <c r="BI1138" s="472"/>
      <c r="BJ1138" s="472"/>
      <c r="BK1138" s="472"/>
      <c r="BL1138" s="472"/>
      <c r="BM1138" s="472"/>
      <c r="BN1138" s="472"/>
      <c r="BO1138" s="472"/>
      <c r="BP1138" s="472"/>
      <c r="BQ1138" s="472"/>
      <c r="BR1138" s="472"/>
      <c r="BS1138" s="303"/>
    </row>
    <row r="1139" spans="1:71" ht="15">
      <c r="A1139" s="302" t="s">
        <v>248</v>
      </c>
      <c r="B1139" s="303" t="b">
        <f>IF(FP.RealTimeToggle="ON",TRUE,FALSE)</f>
        <v>0</v>
      </c>
      <c r="C1139" s="472"/>
      <c r="D1139" s="472"/>
      <c r="E1139" s="472"/>
      <c r="F1139" s="472"/>
      <c r="G1139" s="472"/>
      <c r="H1139" s="472"/>
      <c r="I1139" s="472"/>
      <c r="J1139" s="472"/>
      <c r="K1139" s="472"/>
      <c r="L1139" s="472"/>
      <c r="M1139" s="472"/>
      <c r="N1139" s="472"/>
      <c r="O1139" s="472"/>
      <c r="P1139" s="472"/>
      <c r="Q1139" s="472"/>
      <c r="R1139" s="472"/>
      <c r="S1139" s="472"/>
      <c r="T1139" s="472"/>
      <c r="U1139" s="472"/>
      <c r="V1139" s="472"/>
      <c r="W1139" s="472"/>
      <c r="X1139" s="472"/>
      <c r="Y1139" s="472"/>
      <c r="Z1139" s="472"/>
      <c r="AA1139" s="472"/>
      <c r="AB1139" s="472"/>
      <c r="AC1139" s="472"/>
      <c r="AD1139" s="472"/>
      <c r="AE1139" s="472"/>
      <c r="AF1139" s="472"/>
      <c r="AG1139" s="472"/>
      <c r="AH1139" s="472"/>
      <c r="AI1139" s="472"/>
      <c r="AJ1139" s="472"/>
      <c r="AK1139" s="472"/>
      <c r="AL1139" s="472"/>
      <c r="AM1139" s="472"/>
      <c r="AN1139" s="472"/>
      <c r="AO1139" s="472"/>
      <c r="AP1139" s="472"/>
      <c r="AQ1139" s="472"/>
      <c r="AR1139" s="472"/>
      <c r="AS1139" s="472"/>
      <c r="AT1139" s="472"/>
      <c r="AU1139" s="472"/>
      <c r="AV1139" s="472"/>
      <c r="AW1139" s="472"/>
      <c r="AX1139" s="472"/>
      <c r="AY1139" s="472"/>
      <c r="AZ1139" s="472"/>
      <c r="BA1139" s="472"/>
      <c r="BB1139" s="472"/>
      <c r="BC1139" s="472"/>
      <c r="BD1139" s="472"/>
      <c r="BE1139" s="472"/>
      <c r="BF1139" s="472"/>
      <c r="BG1139" s="472"/>
      <c r="BH1139" s="473"/>
      <c r="BI1139" s="472"/>
      <c r="BJ1139" s="472"/>
      <c r="BK1139" s="472"/>
      <c r="BL1139" s="472"/>
      <c r="BM1139" s="472"/>
      <c r="BN1139" s="472"/>
      <c r="BO1139" s="472"/>
      <c r="BP1139" s="472"/>
      <c r="BQ1139" s="472"/>
      <c r="BR1139" s="472"/>
      <c r="BS1139" s="303"/>
    </row>
    <row r="1140" spans="1:71" s="322" customFormat="1" ht="15">
      <c r="A1140" s="328" t="s">
        <v>249</v>
      </c>
      <c r="B1140" s="301" t="str">
        <f ca="1">IFERROR(CHOOSE(MO.DataSourceIndex,BDP(MO.Ticker.Bloomberg&amp;" EQUITY","LAST_PRICE"),CIQ(MO.Ticker.CapIQ,"IQ_LASTSALEPRICE"),FDS(MO.Ticker.FactSet,"FG_PRICE(NOW)"),_xll.TR(MO.Ticker.Thomson,"TRDPRC_1")),"N/A")</f>
        <v>N/A</v>
      </c>
      <c r="C1140" s="319"/>
      <c r="D1140" s="319"/>
      <c r="E1140" s="319"/>
      <c r="F1140" s="319"/>
      <c r="G1140" s="319"/>
      <c r="H1140" s="319"/>
      <c r="I1140" s="319"/>
      <c r="J1140" s="319"/>
      <c r="K1140" s="319"/>
      <c r="L1140" s="319"/>
      <c r="M1140" s="319"/>
      <c r="N1140" s="319"/>
      <c r="O1140" s="319"/>
      <c r="P1140" s="319"/>
      <c r="Q1140" s="319"/>
      <c r="R1140" s="319"/>
      <c r="S1140" s="319"/>
      <c r="T1140" s="319"/>
      <c r="U1140" s="319"/>
      <c r="V1140" s="319"/>
      <c r="W1140" s="319"/>
      <c r="X1140" s="319"/>
      <c r="Y1140" s="319"/>
      <c r="Z1140" s="319"/>
      <c r="AA1140" s="319"/>
      <c r="AB1140" s="319"/>
      <c r="AC1140" s="319"/>
      <c r="AD1140" s="319"/>
      <c r="AE1140" s="319"/>
      <c r="AF1140" s="319"/>
      <c r="AG1140" s="319"/>
      <c r="AH1140" s="319"/>
      <c r="AI1140" s="319"/>
      <c r="AJ1140" s="319"/>
      <c r="AK1140" s="319"/>
      <c r="AL1140" s="319"/>
      <c r="AM1140" s="319"/>
      <c r="AN1140" s="319"/>
      <c r="AO1140" s="319"/>
      <c r="AP1140" s="319"/>
      <c r="AQ1140" s="319"/>
      <c r="AR1140" s="319"/>
      <c r="AS1140" s="319"/>
      <c r="AT1140" s="319"/>
      <c r="AU1140" s="319"/>
      <c r="AV1140" s="319"/>
      <c r="AW1140" s="319"/>
      <c r="AX1140" s="319"/>
      <c r="AY1140" s="319"/>
      <c r="AZ1140" s="319"/>
      <c r="BA1140" s="319"/>
      <c r="BB1140" s="319"/>
      <c r="BC1140" s="319"/>
      <c r="BD1140" s="319"/>
      <c r="BE1140" s="319"/>
      <c r="BF1140" s="319"/>
      <c r="BG1140" s="319"/>
      <c r="BH1140" s="454"/>
      <c r="BI1140" s="319"/>
      <c r="BJ1140" s="319"/>
      <c r="BK1140" s="319"/>
      <c r="BL1140" s="319"/>
      <c r="BM1140" s="319"/>
      <c r="BN1140" s="319"/>
      <c r="BO1140" s="319"/>
      <c r="BP1140" s="319"/>
      <c r="BQ1140" s="319"/>
      <c r="BR1140" s="319"/>
      <c r="BS1140" s="301"/>
    </row>
    <row r="1141" spans="1:71" s="322" customFormat="1" ht="15">
      <c r="A1141" s="328" t="s">
        <v>901</v>
      </c>
      <c r="B1141" s="301" t="b">
        <f>OR(AND(OR(EXACT(HP.TradeCurrency.HardCoded,"GBp"),EXACT(HP.TradeCurrency.HardCoded,"GBX")),EXACT(HP.ReportCurrency,"GBP")),AND(OR(EXACT(HP.TradeCurrency.HardCoded,"ZAc"),EXACT(HP.TradeCurrency.HardCoded,"ZAC")),EXACT(HP.ReportCurrency,"ZAR")))</f>
        <v>0</v>
      </c>
      <c r="C1141" s="319"/>
      <c r="D1141" s="319"/>
      <c r="E1141" s="319"/>
      <c r="F1141" s="319"/>
      <c r="G1141" s="319"/>
      <c r="H1141" s="319"/>
      <c r="I1141" s="319"/>
      <c r="J1141" s="319"/>
      <c r="K1141" s="319"/>
      <c r="L1141" s="319"/>
      <c r="M1141" s="319"/>
      <c r="N1141" s="319"/>
      <c r="O1141" s="319"/>
      <c r="P1141" s="319"/>
      <c r="Q1141" s="319"/>
      <c r="R1141" s="319"/>
      <c r="S1141" s="319"/>
      <c r="T1141" s="319"/>
      <c r="U1141" s="319"/>
      <c r="V1141" s="319"/>
      <c r="W1141" s="319"/>
      <c r="X1141" s="319"/>
      <c r="Y1141" s="319"/>
      <c r="Z1141" s="319"/>
      <c r="AA1141" s="319"/>
      <c r="AB1141" s="319"/>
      <c r="AC1141" s="319"/>
      <c r="AD1141" s="319"/>
      <c r="AE1141" s="319"/>
      <c r="AF1141" s="319"/>
      <c r="AG1141" s="319"/>
      <c r="AH1141" s="319"/>
      <c r="AI1141" s="319"/>
      <c r="AJ1141" s="319"/>
      <c r="AK1141" s="319"/>
      <c r="AL1141" s="319"/>
      <c r="AM1141" s="319"/>
      <c r="AN1141" s="319"/>
      <c r="AO1141" s="319"/>
      <c r="AP1141" s="319"/>
      <c r="AQ1141" s="319"/>
      <c r="AR1141" s="319"/>
      <c r="AS1141" s="319"/>
      <c r="AT1141" s="319"/>
      <c r="AU1141" s="319"/>
      <c r="AV1141" s="319"/>
      <c r="AW1141" s="319"/>
      <c r="AX1141" s="319"/>
      <c r="AY1141" s="319"/>
      <c r="AZ1141" s="319"/>
      <c r="BA1141" s="319"/>
      <c r="BB1141" s="319"/>
      <c r="BC1141" s="319"/>
      <c r="BD1141" s="319"/>
      <c r="BE1141" s="319"/>
      <c r="BF1141" s="319"/>
      <c r="BG1141" s="319"/>
      <c r="BH1141" s="454"/>
      <c r="BI1141" s="319"/>
      <c r="BJ1141" s="319"/>
      <c r="BK1141" s="319"/>
      <c r="BL1141" s="319"/>
      <c r="BM1141" s="319"/>
      <c r="BN1141" s="319"/>
      <c r="BO1141" s="319"/>
      <c r="BP1141" s="319"/>
      <c r="BQ1141" s="319"/>
      <c r="BR1141" s="319"/>
      <c r="BS1141" s="301"/>
    </row>
    <row r="1142" spans="1:71" s="322" customFormat="1" ht="15">
      <c r="A1142" s="328" t="s">
        <v>250</v>
      </c>
      <c r="B1142" s="301" t="str">
        <f ca="1">IFERROR(CHOOSE(MO.DataSourceIndex,BDP(HP.Ticker&amp;" Equity","CRNCY"),CIQ(HP.Ticker,"IQ_TRADING_CURRENCY"),FDS(HP.Ticker,"P_CURRENCY(""ISO"")"),_xll.TR(HP.Ticker,"Currency")),HP.TradeCurrency.HardCoded)</f>
        <v>USD</v>
      </c>
      <c r="C1142" s="319"/>
      <c r="D1142" s="319"/>
      <c r="E1142" s="319"/>
      <c r="F1142" s="319"/>
      <c r="G1142" s="319"/>
      <c r="H1142" s="319"/>
      <c r="I1142" s="319"/>
      <c r="J1142" s="319"/>
      <c r="K1142" s="319"/>
      <c r="L1142" s="319"/>
      <c r="M1142" s="319"/>
      <c r="N1142" s="319"/>
      <c r="O1142" s="319"/>
      <c r="P1142" s="319"/>
      <c r="Q1142" s="319"/>
      <c r="R1142" s="319"/>
      <c r="S1142" s="319"/>
      <c r="T1142" s="319"/>
      <c r="U1142" s="319"/>
      <c r="V1142" s="319"/>
      <c r="W1142" s="319"/>
      <c r="X1142" s="319"/>
      <c r="Y1142" s="319"/>
      <c r="Z1142" s="319"/>
      <c r="AA1142" s="319"/>
      <c r="AB1142" s="319"/>
      <c r="AC1142" s="319"/>
      <c r="AD1142" s="319"/>
      <c r="AE1142" s="319"/>
      <c r="AF1142" s="319"/>
      <c r="AG1142" s="319"/>
      <c r="AH1142" s="319"/>
      <c r="AI1142" s="319"/>
      <c r="AJ1142" s="319"/>
      <c r="AK1142" s="319"/>
      <c r="AL1142" s="319"/>
      <c r="AM1142" s="319"/>
      <c r="AN1142" s="319"/>
      <c r="AO1142" s="319"/>
      <c r="AP1142" s="319"/>
      <c r="AQ1142" s="319"/>
      <c r="AR1142" s="319"/>
      <c r="AS1142" s="319"/>
      <c r="AT1142" s="319"/>
      <c r="AU1142" s="319"/>
      <c r="AV1142" s="319"/>
      <c r="AW1142" s="319"/>
      <c r="AX1142" s="319"/>
      <c r="AY1142" s="319"/>
      <c r="AZ1142" s="319"/>
      <c r="BA1142" s="319"/>
      <c r="BB1142" s="319"/>
      <c r="BC1142" s="319"/>
      <c r="BD1142" s="319"/>
      <c r="BE1142" s="319"/>
      <c r="BF1142" s="319"/>
      <c r="BG1142" s="319"/>
      <c r="BH1142" s="454"/>
      <c r="BI1142" s="319"/>
      <c r="BJ1142" s="319"/>
      <c r="BK1142" s="319"/>
      <c r="BL1142" s="319"/>
      <c r="BM1142" s="319"/>
      <c r="BN1142" s="319"/>
      <c r="BO1142" s="319"/>
      <c r="BP1142" s="319"/>
      <c r="BQ1142" s="319"/>
      <c r="BR1142" s="319"/>
      <c r="BS1142" s="301"/>
    </row>
    <row r="1143" spans="1:71" s="322" customFormat="1" ht="15">
      <c r="A1143" s="328" t="s">
        <v>251</v>
      </c>
      <c r="B1143" s="956" t="s">
        <v>11</v>
      </c>
      <c r="C1143" s="319"/>
      <c r="D1143" s="319"/>
      <c r="E1143" s="319"/>
      <c r="F1143" s="319"/>
      <c r="G1143" s="319"/>
      <c r="H1143" s="319"/>
      <c r="I1143" s="319"/>
      <c r="J1143" s="319"/>
      <c r="K1143" s="319"/>
      <c r="L1143" s="319"/>
      <c r="M1143" s="319"/>
      <c r="N1143" s="319"/>
      <c r="O1143" s="319"/>
      <c r="P1143" s="319"/>
      <c r="Q1143" s="319"/>
      <c r="R1143" s="319"/>
      <c r="S1143" s="319"/>
      <c r="T1143" s="319"/>
      <c r="U1143" s="319"/>
      <c r="V1143" s="319"/>
      <c r="W1143" s="319"/>
      <c r="X1143" s="319"/>
      <c r="Y1143" s="319"/>
      <c r="Z1143" s="319"/>
      <c r="AA1143" s="319"/>
      <c r="AB1143" s="319"/>
      <c r="AC1143" s="319"/>
      <c r="AD1143" s="319"/>
      <c r="AE1143" s="319"/>
      <c r="AF1143" s="319"/>
      <c r="AG1143" s="319"/>
      <c r="AH1143" s="319"/>
      <c r="AI1143" s="319"/>
      <c r="AJ1143" s="319"/>
      <c r="AK1143" s="319"/>
      <c r="AL1143" s="319"/>
      <c r="AM1143" s="319"/>
      <c r="AN1143" s="319"/>
      <c r="AO1143" s="319"/>
      <c r="AP1143" s="319"/>
      <c r="AQ1143" s="319"/>
      <c r="AR1143" s="319"/>
      <c r="AS1143" s="319"/>
      <c r="AT1143" s="319"/>
      <c r="AU1143" s="319"/>
      <c r="AV1143" s="319"/>
      <c r="AW1143" s="319"/>
      <c r="AX1143" s="319"/>
      <c r="AY1143" s="319"/>
      <c r="AZ1143" s="319"/>
      <c r="BA1143" s="319"/>
      <c r="BB1143" s="319"/>
      <c r="BC1143" s="319"/>
      <c r="BD1143" s="319"/>
      <c r="BE1143" s="319"/>
      <c r="BF1143" s="319"/>
      <c r="BG1143" s="319"/>
      <c r="BH1143" s="454"/>
      <c r="BI1143" s="319"/>
      <c r="BJ1143" s="319"/>
      <c r="BK1143" s="319"/>
      <c r="BL1143" s="319"/>
      <c r="BM1143" s="319"/>
      <c r="BN1143" s="319"/>
      <c r="BO1143" s="319"/>
      <c r="BP1143" s="319"/>
      <c r="BQ1143" s="319"/>
      <c r="BR1143" s="319"/>
      <c r="BS1143" s="301"/>
    </row>
    <row r="1144" spans="1:71" s="322" customFormat="1" ht="15">
      <c r="A1144" s="328" t="s">
        <v>252</v>
      </c>
      <c r="B1144" s="956" t="s">
        <v>11</v>
      </c>
      <c r="C1144" s="319"/>
      <c r="D1144" s="319"/>
      <c r="E1144" s="319"/>
      <c r="F1144" s="319"/>
      <c r="G1144" s="319"/>
      <c r="H1144" s="319"/>
      <c r="I1144" s="319"/>
      <c r="J1144" s="319"/>
      <c r="K1144" s="319"/>
      <c r="L1144" s="319"/>
      <c r="M1144" s="319"/>
      <c r="N1144" s="319"/>
      <c r="O1144" s="319"/>
      <c r="P1144" s="319"/>
      <c r="Q1144" s="319"/>
      <c r="R1144" s="319"/>
      <c r="S1144" s="319"/>
      <c r="T1144" s="319"/>
      <c r="U1144" s="319"/>
      <c r="V1144" s="319"/>
      <c r="W1144" s="319"/>
      <c r="X1144" s="319"/>
      <c r="Y1144" s="319"/>
      <c r="Z1144" s="319"/>
      <c r="AA1144" s="319"/>
      <c r="AB1144" s="319"/>
      <c r="AC1144" s="319"/>
      <c r="AD1144" s="319"/>
      <c r="AE1144" s="319"/>
      <c r="AF1144" s="319"/>
      <c r="AG1144" s="319"/>
      <c r="AH1144" s="319"/>
      <c r="AI1144" s="319"/>
      <c r="AJ1144" s="319"/>
      <c r="AK1144" s="319"/>
      <c r="AL1144" s="319"/>
      <c r="AM1144" s="319"/>
      <c r="AN1144" s="319"/>
      <c r="AO1144" s="319"/>
      <c r="AP1144" s="319"/>
      <c r="AQ1144" s="319"/>
      <c r="AR1144" s="319"/>
      <c r="AS1144" s="319"/>
      <c r="AT1144" s="319"/>
      <c r="AU1144" s="319"/>
      <c r="AV1144" s="319"/>
      <c r="AW1144" s="319"/>
      <c r="AX1144" s="319"/>
      <c r="AY1144" s="319"/>
      <c r="AZ1144" s="319"/>
      <c r="BA1144" s="319"/>
      <c r="BB1144" s="319"/>
      <c r="BC1144" s="319"/>
      <c r="BD1144" s="319"/>
      <c r="BE1144" s="319"/>
      <c r="BF1144" s="319"/>
      <c r="BG1144" s="319"/>
      <c r="BH1144" s="454"/>
      <c r="BI1144" s="319"/>
      <c r="BJ1144" s="319"/>
      <c r="BK1144" s="319"/>
      <c r="BL1144" s="319"/>
      <c r="BM1144" s="319"/>
      <c r="BN1144" s="319"/>
      <c r="BO1144" s="319"/>
      <c r="BP1144" s="319"/>
      <c r="BQ1144" s="319"/>
      <c r="BR1144" s="319"/>
      <c r="BS1144" s="301"/>
    </row>
    <row r="1145" spans="1:71" s="322" customFormat="1" ht="15">
      <c r="A1145" s="328" t="s">
        <v>253</v>
      </c>
      <c r="B1145" s="325">
        <f ca="1">IF(EXACT(MO.ReportFX,HP.TradeCurrency),1,IF(OR(INDEX(MO_SPT_FXAverage,1,MO.MRFPColumnNumber+1)="N/A",ISERROR(INDEX(MO_SPT_FXAverage,1,MO.MRFPColumnNumber+1))),MO.MRFX.Hardcoded,INDEX(MO_SPT_FXAverage,1,MO.MRFPColumnNumber+1)))</f>
        <v>1</v>
      </c>
      <c r="C1145" s="319"/>
      <c r="D1145" s="319"/>
      <c r="E1145" s="319"/>
      <c r="F1145" s="319"/>
      <c r="G1145" s="319"/>
      <c r="H1145" s="319"/>
      <c r="I1145" s="319"/>
      <c r="J1145" s="319"/>
      <c r="K1145" s="319"/>
      <c r="L1145" s="319"/>
      <c r="M1145" s="319"/>
      <c r="N1145" s="319"/>
      <c r="O1145" s="319"/>
      <c r="P1145" s="319"/>
      <c r="Q1145" s="319"/>
      <c r="R1145" s="319"/>
      <c r="S1145" s="319"/>
      <c r="T1145" s="319"/>
      <c r="U1145" s="319"/>
      <c r="V1145" s="319"/>
      <c r="W1145" s="319"/>
      <c r="X1145" s="319"/>
      <c r="Y1145" s="319"/>
      <c r="Z1145" s="319"/>
      <c r="AA1145" s="319"/>
      <c r="AB1145" s="319"/>
      <c r="AC1145" s="319"/>
      <c r="AD1145" s="319"/>
      <c r="AE1145" s="319"/>
      <c r="AF1145" s="319"/>
      <c r="AG1145" s="319"/>
      <c r="AH1145" s="319"/>
      <c r="AI1145" s="319"/>
      <c r="AJ1145" s="319"/>
      <c r="AK1145" s="319"/>
      <c r="AL1145" s="319"/>
      <c r="AM1145" s="319"/>
      <c r="AN1145" s="319"/>
      <c r="AO1145" s="319"/>
      <c r="AP1145" s="319"/>
      <c r="AQ1145" s="319"/>
      <c r="AR1145" s="319"/>
      <c r="AS1145" s="319"/>
      <c r="AT1145" s="319"/>
      <c r="AU1145" s="319"/>
      <c r="AV1145" s="319"/>
      <c r="AW1145" s="319"/>
      <c r="AX1145" s="319"/>
      <c r="AY1145" s="319"/>
      <c r="AZ1145" s="319"/>
      <c r="BA1145" s="319"/>
      <c r="BB1145" s="319"/>
      <c r="BC1145" s="319"/>
      <c r="BD1145" s="319"/>
      <c r="BE1145" s="319"/>
      <c r="BF1145" s="319"/>
      <c r="BG1145" s="319"/>
      <c r="BH1145" s="454"/>
      <c r="BI1145" s="319"/>
      <c r="BJ1145" s="319"/>
      <c r="BK1145" s="319"/>
      <c r="BL1145" s="319"/>
      <c r="BM1145" s="319"/>
      <c r="BN1145" s="319"/>
      <c r="BO1145" s="319"/>
      <c r="BP1145" s="319"/>
      <c r="BQ1145" s="319"/>
      <c r="BR1145" s="319"/>
      <c r="BS1145" s="301"/>
    </row>
    <row r="1146" spans="1:71" s="322" customFormat="1" ht="15">
      <c r="A1146" s="328" t="s">
        <v>254</v>
      </c>
      <c r="B1146" s="959">
        <v>1</v>
      </c>
      <c r="C1146" s="319"/>
      <c r="D1146" s="319"/>
      <c r="E1146" s="319"/>
      <c r="F1146" s="319"/>
      <c r="G1146" s="319"/>
      <c r="H1146" s="319"/>
      <c r="I1146" s="319"/>
      <c r="J1146" s="319"/>
      <c r="K1146" s="319"/>
      <c r="L1146" s="319"/>
      <c r="M1146" s="319"/>
      <c r="N1146" s="319"/>
      <c r="O1146" s="319"/>
      <c r="P1146" s="319"/>
      <c r="Q1146" s="319"/>
      <c r="R1146" s="319"/>
      <c r="S1146" s="319"/>
      <c r="T1146" s="319"/>
      <c r="U1146" s="319"/>
      <c r="V1146" s="319"/>
      <c r="W1146" s="319"/>
      <c r="X1146" s="319"/>
      <c r="Y1146" s="319"/>
      <c r="Z1146" s="319"/>
      <c r="AA1146" s="319"/>
      <c r="AB1146" s="319"/>
      <c r="AC1146" s="319"/>
      <c r="AD1146" s="319"/>
      <c r="AE1146" s="319"/>
      <c r="AF1146" s="319"/>
      <c r="AG1146" s="319"/>
      <c r="AH1146" s="319"/>
      <c r="AI1146" s="319"/>
      <c r="AJ1146" s="319"/>
      <c r="AK1146" s="319"/>
      <c r="AL1146" s="319"/>
      <c r="AM1146" s="319"/>
      <c r="AN1146" s="319"/>
      <c r="AO1146" s="319"/>
      <c r="AP1146" s="319"/>
      <c r="AQ1146" s="319"/>
      <c r="AR1146" s="319"/>
      <c r="AS1146" s="319"/>
      <c r="AT1146" s="319"/>
      <c r="AU1146" s="319"/>
      <c r="AV1146" s="319"/>
      <c r="AW1146" s="319"/>
      <c r="AX1146" s="319"/>
      <c r="AY1146" s="319"/>
      <c r="AZ1146" s="319"/>
      <c r="BA1146" s="319"/>
      <c r="BB1146" s="319"/>
      <c r="BC1146" s="319"/>
      <c r="BD1146" s="319"/>
      <c r="BE1146" s="319"/>
      <c r="BF1146" s="319"/>
      <c r="BG1146" s="319"/>
      <c r="BH1146" s="454"/>
      <c r="BI1146" s="319"/>
      <c r="BJ1146" s="319"/>
      <c r="BK1146" s="319"/>
      <c r="BL1146" s="319"/>
      <c r="BM1146" s="319"/>
      <c r="BN1146" s="319"/>
      <c r="BO1146" s="319"/>
      <c r="BP1146" s="319"/>
      <c r="BQ1146" s="319"/>
      <c r="BR1146" s="319"/>
      <c r="BS1146" s="301"/>
    </row>
    <row r="1147" spans="1:71" s="300" customFormat="1" ht="15">
      <c r="A1147" s="304" t="s">
        <v>255</v>
      </c>
      <c r="B1147" s="305">
        <f>MATCH(MO.MRFP,MO_Common_ColumnHeader,0)</f>
        <v>60</v>
      </c>
      <c r="C1147" s="92"/>
      <c r="D1147" s="92"/>
      <c r="E1147" s="92"/>
      <c r="F1147" s="92"/>
      <c r="G1147" s="92"/>
      <c r="H1147" s="92"/>
      <c r="I1147" s="92"/>
      <c r="J1147" s="92"/>
      <c r="K1147" s="92"/>
      <c r="L1147" s="92"/>
      <c r="M1147" s="92"/>
      <c r="N1147" s="92"/>
      <c r="O1147" s="92"/>
      <c r="P1147" s="92"/>
      <c r="Q1147" s="92"/>
      <c r="R1147" s="92"/>
      <c r="S1147" s="92"/>
      <c r="T1147" s="92"/>
      <c r="U1147" s="92"/>
      <c r="V1147" s="92"/>
      <c r="W1147" s="92"/>
      <c r="X1147" s="92"/>
      <c r="Y1147" s="92"/>
      <c r="Z1147" s="92"/>
      <c r="AA1147" s="92"/>
      <c r="AB1147" s="92"/>
      <c r="AC1147" s="92"/>
      <c r="AD1147" s="92"/>
      <c r="AE1147" s="92"/>
      <c r="AF1147" s="92"/>
      <c r="AG1147" s="92"/>
      <c r="AH1147" s="92"/>
      <c r="AI1147" s="92"/>
      <c r="AJ1147" s="92"/>
      <c r="AK1147" s="92"/>
      <c r="AL1147" s="92"/>
      <c r="AM1147" s="92"/>
      <c r="AN1147" s="92"/>
      <c r="AO1147" s="92"/>
      <c r="AP1147" s="92"/>
      <c r="AQ1147" s="92"/>
      <c r="AR1147" s="92"/>
      <c r="AS1147" s="92"/>
      <c r="AT1147" s="92"/>
      <c r="AU1147" s="92"/>
      <c r="AV1147" s="92"/>
      <c r="AW1147" s="92"/>
      <c r="AX1147" s="92"/>
      <c r="AY1147" s="92"/>
      <c r="AZ1147" s="92"/>
      <c r="BA1147" s="92"/>
      <c r="BB1147" s="92"/>
      <c r="BC1147" s="92"/>
      <c r="BD1147" s="92"/>
      <c r="BE1147" s="92"/>
      <c r="BF1147" s="92"/>
      <c r="BG1147" s="92"/>
      <c r="BH1147" s="464"/>
      <c r="BI1147" s="92"/>
      <c r="BJ1147" s="92"/>
      <c r="BK1147" s="92"/>
      <c r="BL1147" s="92"/>
      <c r="BM1147" s="92"/>
      <c r="BN1147" s="92"/>
      <c r="BO1147" s="92"/>
      <c r="BP1147" s="92"/>
      <c r="BQ1147" s="92"/>
      <c r="BR1147" s="92"/>
      <c r="BS1147" s="305"/>
    </row>
    <row r="1148" spans="1:71" s="300" customFormat="1" ht="15">
      <c r="A1148" s="304" t="s">
        <v>256</v>
      </c>
      <c r="B1148" s="897" t="s">
        <v>973</v>
      </c>
      <c r="C1148" s="92"/>
      <c r="D1148" s="92"/>
      <c r="E1148" s="92"/>
      <c r="F1148" s="92"/>
      <c r="G1148" s="92"/>
      <c r="H1148" s="92"/>
      <c r="I1148" s="92"/>
      <c r="J1148" s="92"/>
      <c r="K1148" s="92"/>
      <c r="L1148" s="92"/>
      <c r="M1148" s="92"/>
      <c r="N1148" s="92"/>
      <c r="O1148" s="92"/>
      <c r="P1148" s="92"/>
      <c r="Q1148" s="92"/>
      <c r="R1148" s="92"/>
      <c r="S1148" s="92"/>
      <c r="T1148" s="92"/>
      <c r="U1148" s="92"/>
      <c r="V1148" s="92"/>
      <c r="W1148" s="92"/>
      <c r="X1148" s="92"/>
      <c r="Y1148" s="92"/>
      <c r="Z1148" s="92"/>
      <c r="AA1148" s="92"/>
      <c r="AB1148" s="92"/>
      <c r="AC1148" s="92"/>
      <c r="AD1148" s="92"/>
      <c r="AE1148" s="92"/>
      <c r="AF1148" s="92"/>
      <c r="AG1148" s="92"/>
      <c r="AH1148" s="92"/>
      <c r="AI1148" s="92"/>
      <c r="AJ1148" s="92"/>
      <c r="AK1148" s="92"/>
      <c r="AL1148" s="92"/>
      <c r="AM1148" s="92"/>
      <c r="AN1148" s="92"/>
      <c r="AO1148" s="92"/>
      <c r="AP1148" s="92"/>
      <c r="AQ1148" s="92"/>
      <c r="AR1148" s="92"/>
      <c r="AS1148" s="92"/>
      <c r="AT1148" s="92"/>
      <c r="AU1148" s="92"/>
      <c r="AV1148" s="92"/>
      <c r="AW1148" s="92"/>
      <c r="AX1148" s="92"/>
      <c r="AY1148" s="92"/>
      <c r="AZ1148" s="92"/>
      <c r="BA1148" s="92"/>
      <c r="BB1148" s="92"/>
      <c r="BC1148" s="92"/>
      <c r="BD1148" s="92"/>
      <c r="BE1148" s="92"/>
      <c r="BF1148" s="92"/>
      <c r="BG1148" s="92"/>
      <c r="BH1148" s="464"/>
      <c r="BI1148" s="92"/>
      <c r="BJ1148" s="92"/>
      <c r="BK1148" s="92"/>
      <c r="BL1148" s="92"/>
      <c r="BM1148" s="92"/>
      <c r="BN1148" s="92"/>
      <c r="BO1148" s="92"/>
      <c r="BP1148" s="92"/>
      <c r="BQ1148" s="92"/>
      <c r="BR1148" s="92"/>
      <c r="BS1148" s="305"/>
    </row>
    <row r="1149" spans="1:71" s="300" customFormat="1" ht="15">
      <c r="A1149" s="304" t="s">
        <v>257</v>
      </c>
      <c r="B1149" s="305" t="str">
        <f>"FY"&amp;RIGHT(MO.MRFP,4)</f>
        <v>FY2024</v>
      </c>
      <c r="C1149" s="92"/>
      <c r="D1149" s="92"/>
      <c r="E1149" s="92"/>
      <c r="F1149" s="92"/>
      <c r="G1149" s="92"/>
      <c r="H1149" s="92"/>
      <c r="I1149" s="92"/>
      <c r="J1149" s="92"/>
      <c r="K1149" s="92"/>
      <c r="L1149" s="92"/>
      <c r="M1149" s="92"/>
      <c r="N1149" s="92"/>
      <c r="O1149" s="92"/>
      <c r="P1149" s="92"/>
      <c r="Q1149" s="92"/>
      <c r="R1149" s="92"/>
      <c r="S1149" s="92"/>
      <c r="T1149" s="92"/>
      <c r="U1149" s="92"/>
      <c r="V1149" s="92"/>
      <c r="W1149" s="92"/>
      <c r="X1149" s="92"/>
      <c r="Y1149" s="92"/>
      <c r="Z1149" s="92"/>
      <c r="AA1149" s="92"/>
      <c r="AB1149" s="92"/>
      <c r="AC1149" s="92"/>
      <c r="AD1149" s="92"/>
      <c r="AE1149" s="92"/>
      <c r="AF1149" s="92"/>
      <c r="AG1149" s="92"/>
      <c r="AH1149" s="92"/>
      <c r="AI1149" s="92"/>
      <c r="AJ1149" s="92"/>
      <c r="AK1149" s="92"/>
      <c r="AL1149" s="92"/>
      <c r="AM1149" s="92"/>
      <c r="AN1149" s="92"/>
      <c r="AO1149" s="92"/>
      <c r="AP1149" s="92"/>
      <c r="AQ1149" s="92"/>
      <c r="AR1149" s="92"/>
      <c r="AS1149" s="92"/>
      <c r="AT1149" s="92"/>
      <c r="AU1149" s="92"/>
      <c r="AV1149" s="92"/>
      <c r="AW1149" s="92"/>
      <c r="AX1149" s="92"/>
      <c r="AY1149" s="92"/>
      <c r="AZ1149" s="92"/>
      <c r="BA1149" s="92"/>
      <c r="BB1149" s="92"/>
      <c r="BC1149" s="92"/>
      <c r="BD1149" s="92"/>
      <c r="BE1149" s="92"/>
      <c r="BF1149" s="92"/>
      <c r="BG1149" s="92"/>
      <c r="BH1149" s="464"/>
      <c r="BI1149" s="92"/>
      <c r="BJ1149" s="92"/>
      <c r="BK1149" s="92"/>
      <c r="BL1149" s="92"/>
      <c r="BM1149" s="92"/>
      <c r="BN1149" s="92"/>
      <c r="BO1149" s="92"/>
      <c r="BP1149" s="92"/>
      <c r="BQ1149" s="92"/>
      <c r="BR1149" s="92"/>
      <c r="BS1149" s="305"/>
    </row>
    <row r="1150" spans="1:71" s="300" customFormat="1" ht="15">
      <c r="A1150" s="304" t="s">
        <v>301</v>
      </c>
      <c r="B1150" s="305" t="str">
        <f>"FY"&amp;RIGHT(MO.MRFP,4)+IF(LEFT(MO.MRFP,2)="FY",1,0)</f>
        <v>FY2024</v>
      </c>
      <c r="C1150" s="92"/>
      <c r="D1150" s="92"/>
      <c r="E1150" s="92"/>
      <c r="F1150" s="92"/>
      <c r="G1150" s="92"/>
      <c r="H1150" s="92"/>
      <c r="I1150" s="92"/>
      <c r="J1150" s="92"/>
      <c r="K1150" s="92"/>
      <c r="L1150" s="92"/>
      <c r="M1150" s="92"/>
      <c r="N1150" s="92"/>
      <c r="O1150" s="92"/>
      <c r="P1150" s="92"/>
      <c r="Q1150" s="92"/>
      <c r="R1150" s="92"/>
      <c r="S1150" s="92"/>
      <c r="T1150" s="92"/>
      <c r="U1150" s="92"/>
      <c r="V1150" s="92"/>
      <c r="W1150" s="92"/>
      <c r="X1150" s="92"/>
      <c r="Y1150" s="92"/>
      <c r="Z1150" s="92"/>
      <c r="AA1150" s="92"/>
      <c r="AB1150" s="92"/>
      <c r="AC1150" s="92"/>
      <c r="AD1150" s="92"/>
      <c r="AE1150" s="92"/>
      <c r="AF1150" s="92"/>
      <c r="AG1150" s="92"/>
      <c r="AH1150" s="92"/>
      <c r="AI1150" s="92"/>
      <c r="AJ1150" s="92"/>
      <c r="AK1150" s="92"/>
      <c r="AL1150" s="92"/>
      <c r="AM1150" s="92"/>
      <c r="AN1150" s="92"/>
      <c r="AO1150" s="92"/>
      <c r="AP1150" s="92"/>
      <c r="AQ1150" s="92"/>
      <c r="AR1150" s="92"/>
      <c r="AS1150" s="92"/>
      <c r="AT1150" s="92"/>
      <c r="AU1150" s="92"/>
      <c r="AV1150" s="92"/>
      <c r="AW1150" s="92"/>
      <c r="AX1150" s="92"/>
      <c r="AY1150" s="92"/>
      <c r="AZ1150" s="92"/>
      <c r="BA1150" s="92"/>
      <c r="BB1150" s="92"/>
      <c r="BC1150" s="92"/>
      <c r="BD1150" s="92"/>
      <c r="BE1150" s="92"/>
      <c r="BF1150" s="92"/>
      <c r="BG1150" s="92"/>
      <c r="BH1150" s="464"/>
      <c r="BI1150" s="92"/>
      <c r="BJ1150" s="92"/>
      <c r="BK1150" s="92"/>
      <c r="BL1150" s="92"/>
      <c r="BM1150" s="92"/>
      <c r="BN1150" s="92"/>
      <c r="BO1150" s="92"/>
      <c r="BP1150" s="92"/>
      <c r="BQ1150" s="92"/>
      <c r="BR1150" s="92"/>
      <c r="BS1150" s="305"/>
    </row>
    <row r="1151" spans="1:71" s="300" customFormat="1" ht="15">
      <c r="A1151" s="304" t="s">
        <v>900</v>
      </c>
      <c r="B1151" s="305">
        <f>COUNTA(tb_KPIs)-1</f>
        <v>34</v>
      </c>
      <c r="C1151" s="92"/>
      <c r="D1151" s="92"/>
      <c r="E1151" s="92"/>
      <c r="F1151" s="92"/>
      <c r="G1151" s="92"/>
      <c r="H1151" s="92"/>
      <c r="I1151" s="92"/>
      <c r="J1151" s="92"/>
      <c r="K1151" s="92"/>
      <c r="L1151" s="92"/>
      <c r="M1151" s="92"/>
      <c r="N1151" s="92"/>
      <c r="O1151" s="92"/>
      <c r="P1151" s="92"/>
      <c r="Q1151" s="92"/>
      <c r="R1151" s="92"/>
      <c r="S1151" s="92"/>
      <c r="T1151" s="92"/>
      <c r="U1151" s="92"/>
      <c r="V1151" s="92"/>
      <c r="W1151" s="92"/>
      <c r="X1151" s="92"/>
      <c r="Y1151" s="92"/>
      <c r="Z1151" s="92"/>
      <c r="AA1151" s="92"/>
      <c r="AB1151" s="92"/>
      <c r="AC1151" s="92"/>
      <c r="AD1151" s="92"/>
      <c r="AE1151" s="92"/>
      <c r="AF1151" s="92"/>
      <c r="AG1151" s="92"/>
      <c r="AH1151" s="92"/>
      <c r="AI1151" s="92"/>
      <c r="AJ1151" s="92"/>
      <c r="AK1151" s="92"/>
      <c r="AL1151" s="92"/>
      <c r="AM1151" s="92"/>
      <c r="AN1151" s="92"/>
      <c r="AO1151" s="92"/>
      <c r="AP1151" s="92"/>
      <c r="AQ1151" s="92"/>
      <c r="AR1151" s="92"/>
      <c r="AS1151" s="92"/>
      <c r="AT1151" s="92"/>
      <c r="AU1151" s="92"/>
      <c r="AV1151" s="92"/>
      <c r="AW1151" s="92"/>
      <c r="AX1151" s="92"/>
      <c r="AY1151" s="92"/>
      <c r="AZ1151" s="92"/>
      <c r="BA1151" s="92"/>
      <c r="BB1151" s="92"/>
      <c r="BC1151" s="92"/>
      <c r="BD1151" s="92"/>
      <c r="BE1151" s="92"/>
      <c r="BF1151" s="92"/>
      <c r="BG1151" s="92"/>
      <c r="BH1151" s="464"/>
      <c r="BI1151" s="92"/>
      <c r="BJ1151" s="92"/>
      <c r="BK1151" s="92"/>
      <c r="BL1151" s="92"/>
      <c r="BM1151" s="92"/>
      <c r="BN1151" s="92"/>
      <c r="BO1151" s="92"/>
      <c r="BP1151" s="92"/>
      <c r="BQ1151" s="92"/>
      <c r="BR1151" s="92"/>
      <c r="BS1151" s="305"/>
    </row>
    <row r="1152" spans="1:71" s="300" customFormat="1" ht="15">
      <c r="A1152" s="306" t="s">
        <v>258</v>
      </c>
      <c r="B1152" s="307">
        <f>IF(MO.DataSourceName="Bloomberg",1,IF(MO.DataSourceName="Capital IQ",2,IF(MO.DataSourceName="FactSet",3,IF(MO.DataSourceName="Refinitiv",4,1))))</f>
        <v>1</v>
      </c>
      <c r="C1152" s="92"/>
      <c r="D1152" s="92"/>
      <c r="E1152" s="92"/>
      <c r="F1152" s="92"/>
      <c r="G1152" s="92"/>
      <c r="H1152" s="92"/>
      <c r="I1152" s="92"/>
      <c r="J1152" s="92"/>
      <c r="K1152" s="92"/>
      <c r="L1152" s="92"/>
      <c r="M1152" s="92"/>
      <c r="N1152" s="92"/>
      <c r="O1152" s="92"/>
      <c r="P1152" s="92"/>
      <c r="Q1152" s="92"/>
      <c r="R1152" s="92"/>
      <c r="S1152" s="92"/>
      <c r="T1152" s="92"/>
      <c r="U1152" s="92"/>
      <c r="V1152" s="92"/>
      <c r="W1152" s="92"/>
      <c r="X1152" s="92"/>
      <c r="Y1152" s="92"/>
      <c r="Z1152" s="92"/>
      <c r="AA1152" s="92"/>
      <c r="AB1152" s="92"/>
      <c r="AC1152" s="92"/>
      <c r="AD1152" s="92"/>
      <c r="AE1152" s="92"/>
      <c r="AF1152" s="92"/>
      <c r="AG1152" s="92"/>
      <c r="AH1152" s="92"/>
      <c r="AI1152" s="92"/>
      <c r="AJ1152" s="92"/>
      <c r="AK1152" s="92"/>
      <c r="AL1152" s="92"/>
      <c r="AM1152" s="92"/>
      <c r="AN1152" s="92"/>
      <c r="AO1152" s="92"/>
      <c r="AP1152" s="92"/>
      <c r="AQ1152" s="92"/>
      <c r="AR1152" s="92"/>
      <c r="AS1152" s="92"/>
      <c r="AT1152" s="92"/>
      <c r="AU1152" s="92"/>
      <c r="AV1152" s="92"/>
      <c r="AW1152" s="92"/>
      <c r="AX1152" s="92"/>
      <c r="AY1152" s="92"/>
      <c r="AZ1152" s="92"/>
      <c r="BA1152" s="92"/>
      <c r="BB1152" s="92"/>
      <c r="BC1152" s="92"/>
      <c r="BD1152" s="92"/>
      <c r="BE1152" s="92"/>
      <c r="BF1152" s="92"/>
      <c r="BG1152" s="92"/>
      <c r="BH1152" s="464"/>
      <c r="BI1152" s="92"/>
      <c r="BJ1152" s="92"/>
      <c r="BK1152" s="92"/>
      <c r="BL1152" s="92"/>
      <c r="BM1152" s="92"/>
      <c r="BN1152" s="92"/>
      <c r="BO1152" s="92"/>
      <c r="BP1152" s="92"/>
      <c r="BQ1152" s="92"/>
      <c r="BR1152" s="92"/>
      <c r="BS1152" s="305"/>
    </row>
    <row r="1153" spans="1:71" ht="15">
      <c r="A1153" s="544"/>
      <c r="B1153" s="544"/>
      <c r="C1153" s="472"/>
      <c r="D1153" s="472"/>
      <c r="E1153" s="472"/>
      <c r="F1153" s="472"/>
      <c r="G1153" s="472"/>
      <c r="H1153" s="472"/>
      <c r="I1153" s="472"/>
      <c r="J1153" s="472"/>
      <c r="K1153" s="472"/>
      <c r="L1153" s="472"/>
      <c r="M1153" s="472"/>
      <c r="N1153" s="472"/>
      <c r="O1153" s="472"/>
      <c r="P1153" s="472"/>
      <c r="Q1153" s="472"/>
      <c r="R1153" s="472"/>
      <c r="S1153" s="472"/>
      <c r="T1153" s="472"/>
      <c r="U1153" s="472"/>
      <c r="V1153" s="472"/>
      <c r="W1153" s="472"/>
      <c r="X1153" s="472"/>
      <c r="Y1153" s="472"/>
      <c r="Z1153" s="472"/>
      <c r="AA1153" s="472"/>
      <c r="AB1153" s="472"/>
      <c r="AC1153" s="472"/>
      <c r="AD1153" s="472"/>
      <c r="AE1153" s="472"/>
      <c r="AF1153" s="472"/>
      <c r="AG1153" s="472"/>
      <c r="AH1153" s="472"/>
      <c r="AI1153" s="472"/>
      <c r="AJ1153" s="472"/>
      <c r="AK1153" s="472"/>
      <c r="AL1153" s="472"/>
      <c r="AM1153" s="472"/>
      <c r="AN1153" s="472"/>
      <c r="AO1153" s="472"/>
      <c r="AP1153" s="472"/>
      <c r="AQ1153" s="472"/>
      <c r="AR1153" s="472"/>
      <c r="AS1153" s="472"/>
      <c r="AT1153" s="472"/>
      <c r="AU1153" s="472"/>
      <c r="AV1153" s="472"/>
      <c r="AW1153" s="472"/>
      <c r="AX1153" s="472"/>
      <c r="AY1153" s="472"/>
      <c r="AZ1153" s="472"/>
      <c r="BA1153" s="472"/>
      <c r="BB1153" s="472"/>
      <c r="BC1153" s="472"/>
      <c r="BD1153" s="472"/>
      <c r="BE1153" s="472"/>
      <c r="BF1153" s="472"/>
      <c r="BG1153" s="472"/>
      <c r="BH1153" s="473"/>
      <c r="BI1153" s="472"/>
      <c r="BJ1153" s="472"/>
      <c r="BK1153" s="472"/>
      <c r="BL1153" s="472"/>
      <c r="BM1153" s="472"/>
      <c r="BN1153" s="472"/>
      <c r="BO1153" s="472"/>
      <c r="BP1153" s="472"/>
      <c r="BQ1153" s="472"/>
      <c r="BR1153" s="472"/>
      <c r="BS1153" s="303"/>
    </row>
    <row r="1154" spans="1:71" ht="15">
      <c r="A1154" s="440" t="s">
        <v>970</v>
      </c>
      <c r="B1154" s="308"/>
      <c r="C1154" s="308"/>
      <c r="D1154" s="308"/>
      <c r="E1154" s="308"/>
      <c r="F1154" s="308"/>
      <c r="G1154" s="308"/>
      <c r="H1154" s="308"/>
      <c r="I1154" s="308"/>
      <c r="J1154" s="308"/>
      <c r="K1154" s="308"/>
      <c r="L1154" s="308"/>
      <c r="M1154" s="308"/>
      <c r="N1154" s="308"/>
      <c r="O1154" s="308"/>
      <c r="P1154" s="308"/>
      <c r="Q1154" s="308"/>
      <c r="R1154" s="308"/>
      <c r="S1154" s="308"/>
      <c r="T1154" s="308"/>
      <c r="U1154" s="308"/>
      <c r="V1154" s="308"/>
      <c r="W1154" s="308"/>
      <c r="X1154" s="308"/>
      <c r="Y1154" s="308"/>
      <c r="Z1154" s="308"/>
      <c r="AA1154" s="308"/>
      <c r="AB1154" s="308"/>
      <c r="AC1154" s="308"/>
      <c r="AD1154" s="308"/>
      <c r="AE1154" s="308"/>
      <c r="AF1154" s="308"/>
      <c r="AG1154" s="308"/>
      <c r="AH1154" s="308"/>
      <c r="AI1154" s="308"/>
      <c r="AJ1154" s="308"/>
      <c r="AK1154" s="308"/>
      <c r="AL1154" s="308"/>
      <c r="AM1154" s="308"/>
      <c r="AN1154" s="308"/>
      <c r="AO1154" s="308"/>
      <c r="AP1154" s="308"/>
      <c r="AQ1154" s="308"/>
      <c r="AR1154" s="308"/>
      <c r="AS1154" s="308"/>
      <c r="AT1154" s="308"/>
      <c r="AU1154" s="308"/>
      <c r="AV1154" s="308"/>
      <c r="AW1154" s="308"/>
      <c r="AX1154" s="308"/>
      <c r="AY1154" s="308"/>
      <c r="AZ1154" s="308"/>
      <c r="BA1154" s="308"/>
      <c r="BB1154" s="308"/>
      <c r="BC1154" s="308"/>
      <c r="BD1154" s="308"/>
      <c r="BE1154" s="308"/>
      <c r="BF1154" s="308"/>
      <c r="BG1154" s="308"/>
      <c r="BH1154" s="308"/>
      <c r="BI1154" s="308"/>
      <c r="BJ1154" s="308"/>
      <c r="BK1154" s="308"/>
      <c r="BL1154" s="308"/>
      <c r="BM1154" s="308"/>
      <c r="BN1154" s="308"/>
      <c r="BO1154" s="308"/>
      <c r="BP1154" s="308"/>
      <c r="BQ1154" s="308"/>
      <c r="BR1154" s="308"/>
      <c r="BS1154" s="303"/>
    </row>
    <row r="1155" spans="1:71" ht="15">
      <c r="A1155" s="303"/>
      <c r="B1155" s="303"/>
      <c r="C1155" s="303"/>
      <c r="D1155" s="303"/>
      <c r="E1155" s="303"/>
      <c r="F1155" s="303"/>
      <c r="G1155" s="303"/>
      <c r="H1155" s="303"/>
      <c r="I1155" s="303"/>
      <c r="J1155" s="303"/>
      <c r="K1155" s="303"/>
      <c r="L1155" s="303"/>
      <c r="M1155" s="303"/>
      <c r="N1155" s="303"/>
      <c r="O1155" s="303"/>
      <c r="P1155" s="303"/>
      <c r="Q1155" s="303"/>
      <c r="R1155" s="303"/>
      <c r="S1155" s="303"/>
      <c r="T1155" s="303"/>
      <c r="U1155" s="303"/>
      <c r="V1155" s="303"/>
      <c r="W1155" s="303"/>
      <c r="X1155" s="303"/>
      <c r="Y1155" s="303"/>
      <c r="Z1155" s="303"/>
      <c r="AA1155" s="303"/>
      <c r="AB1155" s="303"/>
      <c r="AC1155" s="303"/>
      <c r="AD1155" s="303"/>
      <c r="AE1155" s="303"/>
      <c r="AF1155" s="303"/>
      <c r="AG1155" s="303"/>
      <c r="AH1155" s="303"/>
      <c r="AI1155" s="303"/>
      <c r="AJ1155" s="303"/>
      <c r="AK1155" s="303"/>
      <c r="AL1155" s="303"/>
      <c r="AM1155" s="303"/>
      <c r="AN1155" s="303"/>
      <c r="AO1155" s="303"/>
      <c r="AP1155" s="303"/>
      <c r="AQ1155" s="303"/>
      <c r="AR1155" s="303"/>
      <c r="AS1155" s="303"/>
      <c r="AT1155" s="303"/>
      <c r="AU1155" s="303"/>
      <c r="AV1155" s="303"/>
      <c r="AW1155" s="303"/>
      <c r="AX1155" s="303"/>
      <c r="AY1155" s="303"/>
      <c r="AZ1155" s="303"/>
      <c r="BA1155" s="303"/>
      <c r="BB1155" s="303"/>
      <c r="BC1155" s="303"/>
      <c r="BD1155" s="303"/>
      <c r="BE1155" s="303"/>
      <c r="BF1155" s="303"/>
      <c r="BG1155" s="303"/>
      <c r="BH1155" s="303"/>
      <c r="BI1155" s="303"/>
      <c r="BJ1155" s="303"/>
      <c r="BK1155" s="303"/>
      <c r="BL1155" s="303"/>
      <c r="BM1155" s="303"/>
      <c r="BN1155" s="303"/>
      <c r="BO1155" s="303"/>
      <c r="BP1155" s="303"/>
      <c r="BQ1155" s="303"/>
      <c r="BR1155" s="303"/>
      <c r="BS1155" s="303"/>
    </row>
  </sheetData>
  <conditionalFormatting sqref="C643:BR643">
    <cfRule type="cellIs" priority="1120" dxfId="9" operator="equal">
      <formula>0</formula>
    </cfRule>
  </conditionalFormatting>
  <conditionalFormatting sqref="C643:BR643">
    <cfRule type="cellIs" priority="1119" dxfId="8" operator="notEqual">
      <formula>0</formula>
    </cfRule>
  </conditionalFormatting>
  <conditionalFormatting sqref="C939:BR939">
    <cfRule type="cellIs" priority="1118" dxfId="9" operator="equal">
      <formula>0</formula>
    </cfRule>
  </conditionalFormatting>
  <conditionalFormatting sqref="C939:BR939">
    <cfRule type="cellIs" priority="1117" dxfId="8" operator="notEqual">
      <formula>0</formula>
    </cfRule>
  </conditionalFormatting>
  <conditionalFormatting sqref="C988:BR988">
    <cfRule type="cellIs" priority="1116" dxfId="9" operator="equal">
      <formula>0</formula>
    </cfRule>
  </conditionalFormatting>
  <conditionalFormatting sqref="C988:BR988">
    <cfRule type="cellIs" priority="1115" dxfId="8" operator="notEqual">
      <formula>0</formula>
    </cfRule>
  </conditionalFormatting>
  <conditionalFormatting sqref="C991:BR993 C994:P995 R994:U995 BI994:BI995 BK994:BR995 C996:BR1013">
    <cfRule type="cellIs" priority="1114" dxfId="9" operator="equal">
      <formula>0</formula>
    </cfRule>
  </conditionalFormatting>
  <conditionalFormatting sqref="C991:BR993 C994:P995 R994:U995 BI994:BI995 BK994:BR995 C996:BR1013">
    <cfRule type="cellIs" priority="1113" dxfId="8" operator="notEqual">
      <formula>0</formula>
    </cfRule>
  </conditionalFormatting>
  <dataValidations count="1">
    <dataValidation type="list" allowBlank="1" showInputMessage="1" showErrorMessage="1" sqref="B781">
      <formula1>OFFSET(tb_ValuationToggle,1,0,4,1)</formula1>
    </dataValidation>
  </dataValidations>
  <hyperlinks>
    <hyperlink ref="A1" r:id="rId1" display="The Allstate Corporation"/>
  </hyperlinks>
  <pageMargins left="0" right="0" top="0.393700787401575" bottom="0" header="0.196850393700787" footer="0"/>
  <pageSetup fitToHeight="0" orientation="landscape" paperSize="1" r:id="rId4"/>
  <headerFooter>
    <oddHeader>&amp;CThe Allstate Corporation&amp;RPage &amp;P</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0A94BFA-6149-4837-8ABD-6980E9F29436}">
  <sheetPr codeName="Sheet1">
    <pageSetUpPr fitToPage="1"/>
  </sheetPr>
  <dimension ref="A1:BS91"/>
  <sheetViews>
    <sheetView workbookViewId="0" topLeftCell="A1">
      <pane xSplit="2" ySplit="2" topLeftCell="C3" activePane="bottomRight" state="frozen"/>
      <selection pane="topLeft" activeCell="A1" sqref="A1"/>
      <selection pane="bottomLeft" activeCell="A3" sqref="A3"/>
      <selection pane="topRight" activeCell="C1" sqref="C1"/>
      <selection pane="bottomRight" activeCell="A1" sqref="A1"/>
    </sheetView>
  </sheetViews>
  <sheetFormatPr defaultColWidth="9.144285714285713" defaultRowHeight="15" outlineLevelRow="1" outlineLevelCol="1"/>
  <cols>
    <col min="1" max="1" width="41.285714285714285" style="65" customWidth="1"/>
    <col min="2" max="7" width="10.714285714285714" style="65" customWidth="1"/>
    <col min="8" max="11" width="10.714285714285714" style="65" hidden="1" customWidth="1" outlineLevel="1"/>
    <col min="12" max="12" width="10.714285714285714" style="65" customWidth="1" collapsed="1"/>
    <col min="13" max="16" width="10.714285714285714" style="65" hidden="1" customWidth="1" outlineLevel="1"/>
    <col min="17" max="17" width="10.714285714285714" style="65" customWidth="1" collapsed="1"/>
    <col min="18" max="21" width="10.714285714285714" style="65" hidden="1" customWidth="1" outlineLevel="1"/>
    <col min="22" max="22" width="10.714285714285714" style="65" customWidth="1" collapsed="1"/>
    <col min="23" max="26" width="10.714285714285714" style="65" hidden="1" customWidth="1" outlineLevel="1"/>
    <col min="27" max="27" width="10.714285714285714" style="65" customWidth="1" collapsed="1"/>
    <col min="28" max="31" width="10.714285714285714" style="65" hidden="1" customWidth="1" outlineLevel="1"/>
    <col min="32" max="32" width="10.714285714285714" style="65" customWidth="1" collapsed="1"/>
    <col min="33" max="36" width="10.714285714285714" style="65" hidden="1" customWidth="1" outlineLevel="1"/>
    <col min="37" max="37" width="10.714285714285714" style="65" customWidth="1" collapsed="1"/>
    <col min="38" max="41" width="10.714285714285714" style="65" hidden="1" customWidth="1" outlineLevel="1"/>
    <col min="42" max="42" width="10.714285714285714" style="65" customWidth="1" collapsed="1"/>
    <col min="43" max="46" width="10.714285714285714" style="65" hidden="1" customWidth="1" outlineLevel="1"/>
    <col min="47" max="47" width="10.714285714285714" style="65" collapsed="1"/>
    <col min="48" max="51" width="10.714285714285714" style="65" hidden="1" customWidth="1" outlineLevel="1"/>
    <col min="52" max="52" width="10.714285714285714" style="65" customWidth="1" collapsed="1"/>
    <col min="53" max="55" width="10.714285714285714" style="65" hidden="1" customWidth="1" outlineLevel="1" collapsed="1"/>
    <col min="56" max="56" width="10.714285714285714" style="65" hidden="1" customWidth="1" outlineLevel="1"/>
    <col min="57" max="57" width="10.714285714285714" style="65" customWidth="1" collapsed="1"/>
    <col min="58" max="60" width="10.714285714285714" style="65" customWidth="1" outlineLevel="1" collapsed="1"/>
    <col min="61" max="61" width="10.714285714285714" style="65" customWidth="1" outlineLevel="1"/>
    <col min="62" max="62" width="10.714285714285714" style="65" customWidth="1"/>
    <col min="63" max="65" width="10.714285714285714" style="65" hidden="1" customWidth="1" outlineLevel="1" collapsed="1"/>
    <col min="66" max="66" width="10.714285714285714" style="65" hidden="1" customWidth="1" outlineLevel="1"/>
    <col min="67" max="67" width="10.714285714285714" style="65" customWidth="1" collapsed="1"/>
    <col min="68" max="70" width="10.714285714285714" style="65" customWidth="1"/>
    <col min="71" max="71" width="8.857142857142858" style="65" customWidth="1"/>
    <col min="72" max="72" width="9.142857142857142" style="65" customWidth="1"/>
    <col min="73" max="16384" width="9.142857142857142" style="65"/>
  </cols>
  <sheetData>
    <row r="1" spans="1:71" ht="28.5">
      <c r="A1" s="255" t="str">
        <f>MO.CompanyName</f>
        <v>The Allstate Corporation</v>
      </c>
      <c r="B1" s="828"/>
      <c r="C1" s="1087">
        <f t="shared" si="0" ref="C1:AZ1">INDEX(MO_Common_QEndDate,0,COLUMN())</f>
        <v>40178</v>
      </c>
      <c r="D1" s="1088">
        <f t="shared" si="0"/>
        <v>40543</v>
      </c>
      <c r="E1" s="1088">
        <f t="shared" si="0"/>
        <v>40908</v>
      </c>
      <c r="F1" s="1088">
        <f t="shared" si="0"/>
        <v>41274</v>
      </c>
      <c r="G1" s="1088">
        <f t="shared" si="0"/>
        <v>41639</v>
      </c>
      <c r="H1" s="246">
        <f t="shared" si="0"/>
        <v>41729</v>
      </c>
      <c r="I1" s="246">
        <f t="shared" si="0"/>
        <v>41820</v>
      </c>
      <c r="J1" s="246">
        <f t="shared" si="0"/>
        <v>41912</v>
      </c>
      <c r="K1" s="246">
        <f t="shared" si="0"/>
        <v>42004</v>
      </c>
      <c r="L1" s="1088">
        <f t="shared" si="0"/>
        <v>42004</v>
      </c>
      <c r="M1" s="246">
        <f t="shared" si="0"/>
        <v>42094</v>
      </c>
      <c r="N1" s="246">
        <f t="shared" si="0"/>
        <v>42185</v>
      </c>
      <c r="O1" s="246">
        <f t="shared" si="0"/>
        <v>42277</v>
      </c>
      <c r="P1" s="246">
        <f t="shared" si="0"/>
        <v>42369</v>
      </c>
      <c r="Q1" s="1088">
        <f t="shared" si="0"/>
        <v>42369</v>
      </c>
      <c r="R1" s="246">
        <f t="shared" si="0"/>
        <v>42460</v>
      </c>
      <c r="S1" s="246">
        <f t="shared" si="0"/>
        <v>42551</v>
      </c>
      <c r="T1" s="246">
        <f t="shared" si="0"/>
        <v>42643</v>
      </c>
      <c r="U1" s="246">
        <f t="shared" si="0"/>
        <v>42735</v>
      </c>
      <c r="V1" s="1088">
        <f t="shared" si="0"/>
        <v>42735</v>
      </c>
      <c r="W1" s="246">
        <f t="shared" si="0"/>
        <v>42825</v>
      </c>
      <c r="X1" s="246">
        <f t="shared" si="0"/>
        <v>42916</v>
      </c>
      <c r="Y1" s="246">
        <f t="shared" si="0"/>
        <v>43008</v>
      </c>
      <c r="Z1" s="246">
        <f t="shared" si="0"/>
        <v>43100</v>
      </c>
      <c r="AA1" s="1088">
        <f t="shared" si="0"/>
        <v>43100</v>
      </c>
      <c r="AB1" s="246">
        <f t="shared" si="0"/>
        <v>43190</v>
      </c>
      <c r="AC1" s="246">
        <f t="shared" si="0"/>
        <v>43281</v>
      </c>
      <c r="AD1" s="246">
        <f t="shared" si="0"/>
        <v>43373</v>
      </c>
      <c r="AE1" s="246">
        <f t="shared" si="0"/>
        <v>43465</v>
      </c>
      <c r="AF1" s="1088">
        <f t="shared" si="0"/>
        <v>43465</v>
      </c>
      <c r="AG1" s="246">
        <f t="shared" si="0"/>
        <v>43555</v>
      </c>
      <c r="AH1" s="246">
        <f t="shared" si="0"/>
        <v>43646</v>
      </c>
      <c r="AI1" s="246">
        <f t="shared" si="0"/>
        <v>43738</v>
      </c>
      <c r="AJ1" s="246">
        <f t="shared" si="0"/>
        <v>43830</v>
      </c>
      <c r="AK1" s="1088">
        <f t="shared" si="0"/>
        <v>43830</v>
      </c>
      <c r="AL1" s="246">
        <f>INDEX(MO_Common_QEndDate,0,COLUMN())</f>
        <v>43921</v>
      </c>
      <c r="AM1" s="246">
        <f>INDEX(MO_Common_QEndDate,0,COLUMN())</f>
        <v>44012</v>
      </c>
      <c r="AN1" s="246">
        <f>INDEX(MO_Common_QEndDate,0,COLUMN())</f>
        <v>44104</v>
      </c>
      <c r="AO1" s="246">
        <f t="shared" si="0"/>
        <v>44196</v>
      </c>
      <c r="AP1" s="1088">
        <f t="shared" si="0"/>
        <v>44196</v>
      </c>
      <c r="AQ1" s="246">
        <f>INDEX(MO_Common_QEndDate,0,COLUMN())</f>
        <v>44286</v>
      </c>
      <c r="AR1" s="246">
        <f>INDEX(MO_Common_QEndDate,0,COLUMN())</f>
        <v>44377</v>
      </c>
      <c r="AS1" s="246">
        <f>INDEX(MO_Common_QEndDate,0,COLUMN())</f>
        <v>44469</v>
      </c>
      <c r="AT1" s="246">
        <f t="shared" si="0"/>
        <v>44561</v>
      </c>
      <c r="AU1" s="1088">
        <f t="shared" si="0"/>
        <v>44561</v>
      </c>
      <c r="AV1" s="246">
        <f>INDEX(MO_Common_QEndDate,0,COLUMN())</f>
        <v>44651</v>
      </c>
      <c r="AW1" s="246">
        <f>INDEX(MO_Common_QEndDate,0,COLUMN())</f>
        <v>44742</v>
      </c>
      <c r="AX1" s="246">
        <f>INDEX(MO_Common_QEndDate,0,COLUMN())</f>
        <v>44834</v>
      </c>
      <c r="AY1" s="246">
        <f t="shared" si="0"/>
        <v>44926</v>
      </c>
      <c r="AZ1" s="1088">
        <f t="shared" si="0"/>
        <v>44926</v>
      </c>
      <c r="BA1" s="246">
        <f>INDEX(MO_Common_QEndDate,0,COLUMN())</f>
        <v>45016</v>
      </c>
      <c r="BB1" s="246">
        <f>INDEX(MO_Common_QEndDate,0,COLUMN())</f>
        <v>45107</v>
      </c>
      <c r="BC1" s="246">
        <f>INDEX(MO_Common_QEndDate,0,COLUMN())</f>
        <v>45199</v>
      </c>
      <c r="BD1" s="246">
        <f>INDEX(MO_Common_QEndDate,0,COLUMN())</f>
        <v>45291</v>
      </c>
      <c r="BE1" s="1088">
        <f>INDEX(MO_Common_QEndDate,0,COLUMN())</f>
        <v>45291</v>
      </c>
      <c r="BF1" s="246">
        <f t="shared" si="1" ref="BF1:BJ1">INDEX(MO_Common_QEndDate,0,COLUMN())</f>
        <v>45382</v>
      </c>
      <c r="BG1" s="246">
        <f t="shared" si="1"/>
        <v>45473</v>
      </c>
      <c r="BH1" s="774">
        <f>INDEX(MO_Common_QEndDate,0,COLUMN())</f>
        <v>45565</v>
      </c>
      <c r="BI1" s="246">
        <f t="shared" si="1"/>
        <v>45657</v>
      </c>
      <c r="BJ1" s="1088">
        <f t="shared" si="1"/>
        <v>45657</v>
      </c>
      <c r="BK1" s="246">
        <f t="shared" si="2" ref="BK1:BR1">INDEX(MO_Common_QEndDate,0,COLUMN())</f>
        <v>45747</v>
      </c>
      <c r="BL1" s="246">
        <f t="shared" si="2"/>
        <v>45838</v>
      </c>
      <c r="BM1" s="246">
        <f t="shared" si="2"/>
        <v>45930</v>
      </c>
      <c r="BN1" s="246">
        <f t="shared" si="2"/>
        <v>46022</v>
      </c>
      <c r="BO1" s="1088">
        <f t="shared" si="2"/>
        <v>46022</v>
      </c>
      <c r="BP1" s="1088">
        <f t="shared" si="2"/>
        <v>46387</v>
      </c>
      <c r="BQ1" s="1088">
        <f t="shared" si="2"/>
        <v>46752</v>
      </c>
      <c r="BR1" s="1088">
        <f t="shared" si="2"/>
        <v>47118</v>
      </c>
      <c r="BS1" s="828"/>
    </row>
    <row r="2" spans="1:71" s="66" customFormat="1" ht="15">
      <c r="A2" s="256" t="s">
        <v>259</v>
      </c>
      <c r="B2" s="257" t="str">
        <f>MO.ReportFX</f>
        <v>USD</v>
      </c>
      <c r="C2" s="1089" t="str">
        <f t="shared" si="3" ref="C2:AZ2">INDEX(MO_Common_ColumnHeader,0,COLUMN())</f>
        <v>FY2009</v>
      </c>
      <c r="D2" s="1090" t="str">
        <f t="shared" si="3"/>
        <v>FY2010</v>
      </c>
      <c r="E2" s="1090" t="str">
        <f t="shared" si="3"/>
        <v>FY2011</v>
      </c>
      <c r="F2" s="1090" t="str">
        <f t="shared" si="3"/>
        <v>FY2012</v>
      </c>
      <c r="G2" s="1090" t="str">
        <f t="shared" si="3"/>
        <v>FY2013</v>
      </c>
      <c r="H2" s="171" t="str">
        <f t="shared" si="3"/>
        <v>Q1-2014</v>
      </c>
      <c r="I2" s="171" t="str">
        <f t="shared" si="3"/>
        <v>Q2-2014</v>
      </c>
      <c r="J2" s="171" t="str">
        <f t="shared" si="3"/>
        <v>Q3-2014</v>
      </c>
      <c r="K2" s="171" t="str">
        <f t="shared" si="3"/>
        <v>Q4-2014</v>
      </c>
      <c r="L2" s="1090" t="str">
        <f t="shared" si="3"/>
        <v>FY2014</v>
      </c>
      <c r="M2" s="171" t="str">
        <f t="shared" si="3"/>
        <v>Q1-2015</v>
      </c>
      <c r="N2" s="171" t="str">
        <f t="shared" si="3"/>
        <v>Q2-2015</v>
      </c>
      <c r="O2" s="171" t="str">
        <f t="shared" si="3"/>
        <v>Q3-2015</v>
      </c>
      <c r="P2" s="171" t="str">
        <f t="shared" si="3"/>
        <v>Q4-2015</v>
      </c>
      <c r="Q2" s="1090" t="str">
        <f t="shared" si="3"/>
        <v>FY2015</v>
      </c>
      <c r="R2" s="171" t="str">
        <f t="shared" si="3"/>
        <v>Q1-2016</v>
      </c>
      <c r="S2" s="171" t="str">
        <f t="shared" si="3"/>
        <v>Q2-2016</v>
      </c>
      <c r="T2" s="171" t="str">
        <f t="shared" si="3"/>
        <v>Q3-2016</v>
      </c>
      <c r="U2" s="171" t="str">
        <f t="shared" si="3"/>
        <v>Q4-2016</v>
      </c>
      <c r="V2" s="1090" t="str">
        <f t="shared" si="3"/>
        <v>FY2016</v>
      </c>
      <c r="W2" s="171" t="str">
        <f t="shared" si="3"/>
        <v>Q1-2017</v>
      </c>
      <c r="X2" s="171" t="str">
        <f t="shared" si="3"/>
        <v>Q2-2017</v>
      </c>
      <c r="Y2" s="171" t="str">
        <f t="shared" si="3"/>
        <v>Q3-2017</v>
      </c>
      <c r="Z2" s="171" t="str">
        <f t="shared" si="3"/>
        <v>Q4-2017</v>
      </c>
      <c r="AA2" s="1090" t="str">
        <f t="shared" si="3"/>
        <v>FY2017</v>
      </c>
      <c r="AB2" s="171" t="str">
        <f t="shared" si="3"/>
        <v>Q1-2018</v>
      </c>
      <c r="AC2" s="171" t="str">
        <f t="shared" si="3"/>
        <v>Q2-2018</v>
      </c>
      <c r="AD2" s="171" t="str">
        <f t="shared" si="3"/>
        <v>Q3-2018</v>
      </c>
      <c r="AE2" s="171" t="str">
        <f t="shared" si="3"/>
        <v>Q4-2018</v>
      </c>
      <c r="AF2" s="1090" t="str">
        <f t="shared" si="3"/>
        <v>FY2018</v>
      </c>
      <c r="AG2" s="171" t="str">
        <f t="shared" si="3"/>
        <v>Q1-2019</v>
      </c>
      <c r="AH2" s="171" t="str">
        <f t="shared" si="3"/>
        <v>Q2-2019</v>
      </c>
      <c r="AI2" s="171" t="str">
        <f t="shared" si="3"/>
        <v>Q3-2019</v>
      </c>
      <c r="AJ2" s="171" t="str">
        <f t="shared" si="3"/>
        <v>Q4-2019</v>
      </c>
      <c r="AK2" s="1090" t="str">
        <f t="shared" si="3"/>
        <v>FY2019</v>
      </c>
      <c r="AL2" s="171" t="str">
        <f>INDEX(MO_Common_ColumnHeader,0,COLUMN())</f>
        <v>Q1-2020</v>
      </c>
      <c r="AM2" s="171" t="str">
        <f>INDEX(MO_Common_ColumnHeader,0,COLUMN())</f>
        <v>Q2-2020</v>
      </c>
      <c r="AN2" s="171" t="str">
        <f>INDEX(MO_Common_ColumnHeader,0,COLUMN())</f>
        <v>Q3-2020</v>
      </c>
      <c r="AO2" s="171" t="str">
        <f t="shared" si="3"/>
        <v>Q4-2020</v>
      </c>
      <c r="AP2" s="1090" t="str">
        <f t="shared" si="3"/>
        <v>FY2020</v>
      </c>
      <c r="AQ2" s="171" t="str">
        <f>INDEX(MO_Common_ColumnHeader,0,COLUMN())</f>
        <v>Q1-2021</v>
      </c>
      <c r="AR2" s="171" t="str">
        <f>INDEX(MO_Common_ColumnHeader,0,COLUMN())</f>
        <v>Q2-2021</v>
      </c>
      <c r="AS2" s="171" t="str">
        <f>INDEX(MO_Common_ColumnHeader,0,COLUMN())</f>
        <v>Q3-2021</v>
      </c>
      <c r="AT2" s="171" t="str">
        <f t="shared" si="3"/>
        <v>Q4-2021</v>
      </c>
      <c r="AU2" s="1090" t="str">
        <f t="shared" si="3"/>
        <v>FY2021</v>
      </c>
      <c r="AV2" s="171" t="str">
        <f>INDEX(MO_Common_ColumnHeader,0,COLUMN())</f>
        <v>Q1-2022</v>
      </c>
      <c r="AW2" s="171" t="str">
        <f>INDEX(MO_Common_ColumnHeader,0,COLUMN())</f>
        <v>Q2-2022</v>
      </c>
      <c r="AX2" s="171" t="str">
        <f>INDEX(MO_Common_ColumnHeader,0,COLUMN())</f>
        <v>Q3-2022</v>
      </c>
      <c r="AY2" s="171" t="str">
        <f t="shared" si="3"/>
        <v>Q4-2022</v>
      </c>
      <c r="AZ2" s="1090" t="str">
        <f t="shared" si="3"/>
        <v>FY2022</v>
      </c>
      <c r="BA2" s="171" t="str">
        <f>INDEX(MO_Common_ColumnHeader,0,COLUMN())</f>
        <v>Q1-2023</v>
      </c>
      <c r="BB2" s="171" t="str">
        <f>INDEX(MO_Common_ColumnHeader,0,COLUMN())</f>
        <v>Q2-2023</v>
      </c>
      <c r="BC2" s="171" t="str">
        <f>INDEX(MO_Common_ColumnHeader,0,COLUMN())</f>
        <v>Q3-2023</v>
      </c>
      <c r="BD2" s="171" t="str">
        <f>INDEX(MO_Common_ColumnHeader,0,COLUMN())</f>
        <v>Q4-2023</v>
      </c>
      <c r="BE2" s="1090" t="str">
        <f>INDEX(MO_Common_ColumnHeader,0,COLUMN())</f>
        <v>FY2023</v>
      </c>
      <c r="BF2" s="171" t="str">
        <f t="shared" si="4" ref="BF2:BJ2">INDEX(MO_Common_ColumnHeader,0,COLUMN())</f>
        <v>Q1-2024</v>
      </c>
      <c r="BG2" s="171" t="str">
        <f t="shared" si="4"/>
        <v>Q2-2024</v>
      </c>
      <c r="BH2" s="775" t="str">
        <f>INDEX(MO_Common_ColumnHeader,0,COLUMN())</f>
        <v>Q3-2024</v>
      </c>
      <c r="BI2" s="171" t="str">
        <f t="shared" si="4"/>
        <v>Q4-2024</v>
      </c>
      <c r="BJ2" s="1090" t="str">
        <f t="shared" si="4"/>
        <v>FY2024</v>
      </c>
      <c r="BK2" s="171" t="str">
        <f t="shared" si="5" ref="BK2:BR2">INDEX(MO_Common_ColumnHeader,0,COLUMN())</f>
        <v>Q1-2025</v>
      </c>
      <c r="BL2" s="171" t="str">
        <f t="shared" si="5"/>
        <v>Q2-2025</v>
      </c>
      <c r="BM2" s="171" t="str">
        <f t="shared" si="5"/>
        <v>Q3-2025</v>
      </c>
      <c r="BN2" s="171" t="str">
        <f t="shared" si="5"/>
        <v>Q4-2025</v>
      </c>
      <c r="BO2" s="1090" t="str">
        <f t="shared" si="5"/>
        <v>FY2025</v>
      </c>
      <c r="BP2" s="1090" t="str">
        <f t="shared" si="5"/>
        <v>FY2026</v>
      </c>
      <c r="BQ2" s="1090" t="str">
        <f t="shared" si="5"/>
        <v>FY2027</v>
      </c>
      <c r="BR2" s="1090" t="str">
        <f t="shared" si="5"/>
        <v>FY2028</v>
      </c>
      <c r="BS2" s="828"/>
    </row>
    <row r="3" spans="1:71" ht="15">
      <c r="A3" s="167" t="s">
        <v>260</v>
      </c>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67"/>
      <c r="AN3" s="167"/>
      <c r="AO3" s="167"/>
      <c r="AP3" s="167"/>
      <c r="AQ3" s="167"/>
      <c r="AR3" s="167"/>
      <c r="AS3" s="167"/>
      <c r="AT3" s="167"/>
      <c r="AU3" s="167"/>
      <c r="AV3" s="167"/>
      <c r="AW3" s="167"/>
      <c r="AX3" s="167"/>
      <c r="AY3" s="167"/>
      <c r="AZ3" s="167"/>
      <c r="BA3" s="167"/>
      <c r="BB3" s="167"/>
      <c r="BC3" s="167"/>
      <c r="BD3" s="167"/>
      <c r="BE3" s="167"/>
      <c r="BF3" s="167"/>
      <c r="BG3" s="167"/>
      <c r="BH3" s="455"/>
      <c r="BI3" s="167"/>
      <c r="BJ3" s="167"/>
      <c r="BK3" s="167"/>
      <c r="BL3" s="167"/>
      <c r="BM3" s="167"/>
      <c r="BN3" s="167"/>
      <c r="BO3" s="167"/>
      <c r="BP3" s="167"/>
      <c r="BQ3" s="167"/>
      <c r="BR3" s="167"/>
      <c r="BS3" s="181"/>
    </row>
    <row r="4" spans="1:71" s="71" customFormat="1" ht="15">
      <c r="A4" s="441" t="str">
        <f>"Stock Price - "&amp;SP.ValuationToggle</f>
        <v>Stock Price - EoP</v>
      </c>
      <c r="B4" s="281" t="s">
        <v>920</v>
      </c>
      <c r="C4" s="1091">
        <f t="shared" si="6" ref="C4:AH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30.53</v>
      </c>
      <c r="D4" s="1091">
        <f t="shared" si="6"/>
        <v>31.80</v>
      </c>
      <c r="E4" s="1091">
        <f t="shared" si="6"/>
        <v>27.41</v>
      </c>
      <c r="F4" s="1091">
        <f t="shared" si="6"/>
        <v>39.86</v>
      </c>
      <c r="G4" s="1091">
        <f t="shared" si="6"/>
        <v>54.23</v>
      </c>
      <c r="H4" s="341">
        <f t="shared" si="6"/>
        <v>55.80</v>
      </c>
      <c r="I4" s="341">
        <f t="shared" si="6"/>
        <v>58.69</v>
      </c>
      <c r="J4" s="341">
        <f t="shared" si="6"/>
        <v>61.29</v>
      </c>
      <c r="K4" s="341">
        <f t="shared" si="6"/>
        <v>70.94</v>
      </c>
      <c r="L4" s="1091">
        <f t="shared" si="6"/>
        <v>70.94</v>
      </c>
      <c r="M4" s="341">
        <f t="shared" si="6"/>
        <v>70.95</v>
      </c>
      <c r="N4" s="341">
        <f t="shared" si="6"/>
        <v>64.680000000000007</v>
      </c>
      <c r="O4" s="341">
        <f t="shared" si="6"/>
        <v>58.36</v>
      </c>
      <c r="P4" s="341">
        <f t="shared" si="6"/>
        <v>62.81</v>
      </c>
      <c r="Q4" s="1091">
        <f t="shared" si="6"/>
        <v>62.81</v>
      </c>
      <c r="R4" s="341">
        <f t="shared" si="6"/>
        <v>67.72</v>
      </c>
      <c r="S4" s="341">
        <f t="shared" si="6"/>
        <v>68.47</v>
      </c>
      <c r="T4" s="341">
        <f t="shared" si="6"/>
        <v>68.64</v>
      </c>
      <c r="U4" s="341">
        <f t="shared" si="6"/>
        <v>74.120000000000005</v>
      </c>
      <c r="V4" s="1091">
        <f t="shared" si="6"/>
        <v>74.120000000000005</v>
      </c>
      <c r="W4" s="341">
        <f t="shared" si="6"/>
        <v>81.64</v>
      </c>
      <c r="X4" s="341">
        <f t="shared" si="6"/>
        <v>88.13</v>
      </c>
      <c r="Y4" s="341">
        <f t="shared" si="6"/>
        <v>91.91</v>
      </c>
      <c r="Z4" s="341">
        <f t="shared" si="6"/>
        <v>104.70999999999999</v>
      </c>
      <c r="AA4" s="1091">
        <f t="shared" si="6"/>
        <v>104.70999999999999</v>
      </c>
      <c r="AB4" s="341">
        <f t="shared" si="6"/>
        <v>94.80</v>
      </c>
      <c r="AC4" s="341">
        <f t="shared" si="6"/>
        <v>91.27</v>
      </c>
      <c r="AD4" s="341">
        <f t="shared" si="6"/>
        <v>98.70</v>
      </c>
      <c r="AE4" s="341">
        <f t="shared" si="6"/>
        <v>82.02</v>
      </c>
      <c r="AF4" s="1091">
        <f t="shared" si="6"/>
        <v>82.02</v>
      </c>
      <c r="AG4" s="341">
        <f t="shared" si="6"/>
        <v>94.18</v>
      </c>
      <c r="AH4" s="341">
        <f t="shared" si="6"/>
        <v>101.69</v>
      </c>
      <c r="AI4" s="341">
        <f t="shared" si="7" ref="AI4:BJ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107.83</v>
      </c>
      <c r="AJ4" s="341">
        <f t="shared" si="7"/>
        <v>111.77</v>
      </c>
      <c r="AK4" s="1091">
        <f t="shared" si="7"/>
        <v>111.77</v>
      </c>
      <c r="AL4" s="341">
        <f t="shared" si="7"/>
        <v>94.64</v>
      </c>
      <c r="AM4" s="341">
        <f t="shared" si="7"/>
        <v>95.44</v>
      </c>
      <c r="AN4" s="341">
        <f t="shared" si="7"/>
        <v>93.44</v>
      </c>
      <c r="AO4" s="341">
        <f t="shared" si="7"/>
        <v>108.15000000000001</v>
      </c>
      <c r="AP4" s="1092">
        <f t="shared" si="7"/>
        <v>108.15000000000001</v>
      </c>
      <c r="AQ4" s="341">
        <f t="shared" si="7"/>
        <v>117.11</v>
      </c>
      <c r="AR4" s="341">
        <f t="shared" si="7"/>
        <v>129.56999999999999</v>
      </c>
      <c r="AS4" s="341">
        <f t="shared" si="7"/>
        <v>129.33000000000001</v>
      </c>
      <c r="AT4" s="341">
        <f t="shared" si="7"/>
        <v>117.68000000000001</v>
      </c>
      <c r="AU4" s="1092">
        <f t="shared" si="7"/>
        <v>117.68000000000001</v>
      </c>
      <c r="AV4" s="341">
        <f t="shared" si="7"/>
        <v>140.38999999999999</v>
      </c>
      <c r="AW4" s="341">
        <f t="shared" si="7"/>
        <v>125.42</v>
      </c>
      <c r="AX4" s="341">
        <f t="shared" si="7"/>
        <v>126.13</v>
      </c>
      <c r="AY4" s="341">
        <f t="shared" si="7"/>
        <v>135.59999999999999</v>
      </c>
      <c r="AZ4" s="1092">
        <f t="shared" si="7"/>
        <v>135.59999999999999</v>
      </c>
      <c r="BA4" s="341">
        <f t="shared" si="7"/>
        <v>109.09</v>
      </c>
      <c r="BB4" s="341">
        <f t="shared" si="7"/>
        <v>109.09</v>
      </c>
      <c r="BC4" s="341">
        <f t="shared" si="7"/>
        <v>111.41</v>
      </c>
      <c r="BD4" s="341">
        <f t="shared" si="7"/>
        <v>139.97999999999999</v>
      </c>
      <c r="BE4" s="1092">
        <f t="shared" si="7"/>
        <v>139.97999999999999</v>
      </c>
      <c r="BF4" s="341">
        <f t="shared" si="7"/>
        <v>173.01</v>
      </c>
      <c r="BG4" s="341">
        <f t="shared" si="7"/>
        <v>159.66</v>
      </c>
      <c r="BH4" s="776">
        <f>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188.36</v>
      </c>
      <c r="BI4" s="341">
        <f t="shared" ca="1" si="7"/>
        <v>186.57</v>
      </c>
      <c r="BJ4" s="1092">
        <f t="shared" ca="1" si="7"/>
        <v>186.57</v>
      </c>
      <c r="BK4" s="341">
        <f ca="1" t="shared" si="8" ref="BK4:BR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186.57</v>
      </c>
      <c r="BL4" s="341">
        <f t="shared" ca="1" si="8"/>
        <v>186.57</v>
      </c>
      <c r="BM4" s="341">
        <f t="shared" ca="1" si="8"/>
        <v>186.57</v>
      </c>
      <c r="BN4" s="341">
        <f t="shared" ca="1" si="8"/>
        <v>186.57</v>
      </c>
      <c r="BO4" s="1092">
        <f t="shared" ca="1" si="8"/>
        <v>186.57</v>
      </c>
      <c r="BP4" s="1092">
        <f t="shared" ca="1" si="8"/>
        <v>186.57</v>
      </c>
      <c r="BQ4" s="1092">
        <f t="shared" ca="1" si="8"/>
        <v>186.57</v>
      </c>
      <c r="BR4" s="1092">
        <f t="shared" ca="1" si="8"/>
        <v>186.57</v>
      </c>
      <c r="BS4" s="337"/>
    </row>
    <row r="5" spans="1:71" s="71" customFormat="1" ht="15">
      <c r="A5" s="666" t="str">
        <f>INDEX(MO_SCA_ShareCount_EoP_Diluted,0,COLUMN())</f>
        <v>EoP Total Diluted Common Stock Outstanding, mm shares</v>
      </c>
      <c r="B5" s="667"/>
      <c r="C5" s="1093">
        <f t="shared" si="9" ref="C5:AH5">INDEX(MO_SCA_ShareCount_EoP_Diluted,0,COLUMN())</f>
        <v>542.59999999999991</v>
      </c>
      <c r="D5" s="1093">
        <f t="shared" si="9"/>
        <v>540.60</v>
      </c>
      <c r="E5" s="1093">
        <f t="shared" si="9"/>
        <v>508.20</v>
      </c>
      <c r="F5" s="1093">
        <f t="shared" si="9"/>
        <v>488.66300000000001</v>
      </c>
      <c r="G5" s="1093">
        <f t="shared" si="9"/>
        <v>461.95699999999999</v>
      </c>
      <c r="H5" s="871">
        <f t="shared" si="9"/>
        <v>446.65700000000004</v>
      </c>
      <c r="I5" s="871">
        <f t="shared" si="9"/>
        <v>445.95699999999994</v>
      </c>
      <c r="J5" s="871">
        <f t="shared" si="9"/>
        <v>432.15699999999998</v>
      </c>
      <c r="K5" s="871">
        <f t="shared" si="9"/>
        <v>432.39600000000002</v>
      </c>
      <c r="L5" s="1093">
        <f t="shared" si="9"/>
        <v>432.39600000000002</v>
      </c>
      <c r="M5" s="871">
        <f t="shared" si="9"/>
        <v>420.89600000000002</v>
      </c>
      <c r="N5" s="871">
        <f t="shared" si="9"/>
        <v>411.99600000000004</v>
      </c>
      <c r="O5" s="871">
        <f t="shared" si="9"/>
        <v>398.39600000000007</v>
      </c>
      <c r="P5" s="871">
        <f t="shared" si="9"/>
        <v>390.37</v>
      </c>
      <c r="Q5" s="1093">
        <f t="shared" si="9"/>
        <v>390.37</v>
      </c>
      <c r="R5" s="871">
        <f t="shared" si="9"/>
        <v>384.16999999999996</v>
      </c>
      <c r="S5" s="871">
        <f t="shared" si="9"/>
        <v>378.57</v>
      </c>
      <c r="T5" s="871">
        <f t="shared" si="9"/>
        <v>376.16999999999996</v>
      </c>
      <c r="U5" s="871">
        <f t="shared" si="9"/>
        <v>374.38100000000003</v>
      </c>
      <c r="V5" s="1093">
        <f t="shared" si="9"/>
        <v>374.38100000000003</v>
      </c>
      <c r="W5" s="871">
        <f t="shared" si="9"/>
        <v>375.08100000000002</v>
      </c>
      <c r="X5" s="871">
        <f t="shared" si="9"/>
        <v>371.48099999999999</v>
      </c>
      <c r="Y5" s="871">
        <f t="shared" si="9"/>
        <v>370.68100000000004</v>
      </c>
      <c r="Z5" s="871">
        <f t="shared" si="9"/>
        <v>366.51000000000005</v>
      </c>
      <c r="AA5" s="1093">
        <f t="shared" si="9"/>
        <v>366.51000000000005</v>
      </c>
      <c r="AB5" s="871">
        <f t="shared" si="9"/>
        <v>362.41</v>
      </c>
      <c r="AC5" s="871">
        <f t="shared" si="9"/>
        <v>356.21000000000004</v>
      </c>
      <c r="AD5" s="871">
        <f t="shared" si="9"/>
        <v>355.51</v>
      </c>
      <c r="AE5" s="871">
        <f t="shared" si="9"/>
        <v>341.15199999999999</v>
      </c>
      <c r="AF5" s="1093">
        <f t="shared" si="9"/>
        <v>341.15199999999999</v>
      </c>
      <c r="AG5" s="871">
        <f t="shared" si="9"/>
        <v>336.65199999999999</v>
      </c>
      <c r="AH5" s="871">
        <f t="shared" si="9"/>
        <v>338.75200000000001</v>
      </c>
      <c r="AI5" s="871">
        <f t="shared" si="10" ref="AI5:BJ5">INDEX(MO_SCA_ShareCount_EoP_Diluted,0,COLUMN())</f>
        <v>334.65200000000004</v>
      </c>
      <c r="AJ5" s="871">
        <f t="shared" si="10"/>
        <v>329.21900000000005</v>
      </c>
      <c r="AK5" s="1093">
        <f t="shared" si="10"/>
        <v>329.21900000000005</v>
      </c>
      <c r="AL5" s="871">
        <f t="shared" si="10"/>
        <v>322.51900000000001</v>
      </c>
      <c r="AM5" s="871">
        <f t="shared" si="10"/>
        <v>317.91900000000004</v>
      </c>
      <c r="AN5" s="871">
        <f t="shared" si="10"/>
        <v>308.71900000000005</v>
      </c>
      <c r="AO5" s="871">
        <f t="shared" si="10"/>
        <v>311.04899999999998</v>
      </c>
      <c r="AP5" s="1094">
        <f t="shared" si="10"/>
        <v>311.04899999999998</v>
      </c>
      <c r="AQ5" s="871">
        <f t="shared" si="10"/>
        <v>306.34899999999999</v>
      </c>
      <c r="AR5" s="871">
        <f t="shared" si="10"/>
        <v>305.149</v>
      </c>
      <c r="AS5" s="871">
        <f t="shared" si="10"/>
        <v>296.44899999999996</v>
      </c>
      <c r="AT5" s="871">
        <f t="shared" si="10"/>
        <v>287.726</v>
      </c>
      <c r="AU5" s="1094">
        <f t="shared" si="10"/>
        <v>287.726</v>
      </c>
      <c r="AV5" s="871">
        <f t="shared" si="10"/>
        <v>282.42599999999999</v>
      </c>
      <c r="AW5" s="871">
        <f t="shared" si="10"/>
        <v>277.02600000000001</v>
      </c>
      <c r="AX5" s="871">
        <f t="shared" si="10"/>
        <v>271.82600000000002</v>
      </c>
      <c r="AY5" s="871">
        <f t="shared" si="10"/>
        <v>269.904</v>
      </c>
      <c r="AZ5" s="1094">
        <f t="shared" si="10"/>
        <v>269.904</v>
      </c>
      <c r="BA5" s="871">
        <f t="shared" si="10"/>
        <v>267.60399999999998</v>
      </c>
      <c r="BB5" s="871">
        <f t="shared" si="10"/>
        <v>266.404</v>
      </c>
      <c r="BC5" s="871">
        <f t="shared" si="10"/>
        <v>266.404</v>
      </c>
      <c r="BD5" s="871">
        <f t="shared" si="10"/>
        <v>267.26600000000002</v>
      </c>
      <c r="BE5" s="1094">
        <f t="shared" si="10"/>
        <v>267.26600000000002</v>
      </c>
      <c r="BF5" s="871">
        <f t="shared" si="10"/>
        <v>269.45600000000002</v>
      </c>
      <c r="BG5" s="871">
        <f t="shared" si="10"/>
        <v>269.26600000000002</v>
      </c>
      <c r="BH5" s="873">
        <f>INDEX(MO_SCA_ShareCount_EoP_Diluted,0,COLUMN())</f>
        <v>270.96600000000001</v>
      </c>
      <c r="BI5" s="871">
        <f t="shared" ca="1" si="10"/>
        <v>271.31192400000003</v>
      </c>
      <c r="BJ5" s="1094">
        <f t="shared" ca="1" si="10"/>
        <v>271.31192400000003</v>
      </c>
      <c r="BK5" s="871">
        <f ca="1" t="shared" si="11" ref="BK5:BR5">INDEX(MO_SCA_ShareCount_EoP_Diluted,0,COLUMN())</f>
        <v>271.31192400000003</v>
      </c>
      <c r="BL5" s="871">
        <f t="shared" ca="1" si="11"/>
        <v>271.31192400000003</v>
      </c>
      <c r="BM5" s="871">
        <f t="shared" ca="1" si="11"/>
        <v>271.31192400000003</v>
      </c>
      <c r="BN5" s="871">
        <f t="shared" ca="1" si="11"/>
        <v>271.31192400000003</v>
      </c>
      <c r="BO5" s="1094">
        <f t="shared" ca="1" si="11"/>
        <v>271.31192400000003</v>
      </c>
      <c r="BP5" s="1094">
        <f t="shared" ca="1" si="11"/>
        <v>271.31192400000003</v>
      </c>
      <c r="BQ5" s="1094">
        <f t="shared" ca="1" si="11"/>
        <v>271.31192400000003</v>
      </c>
      <c r="BR5" s="1094">
        <f t="shared" ca="1" si="11"/>
        <v>271.31192400000003</v>
      </c>
      <c r="BS5" s="337"/>
    </row>
    <row r="6" spans="1:71" s="70" customFormat="1" ht="15">
      <c r="A6" s="261" t="str">
        <f>"Market Cap - "&amp;SP.ValuationToggle</f>
        <v>Market Cap - EoP</v>
      </c>
      <c r="B6" s="262"/>
      <c r="C6" s="1095">
        <f t="shared" si="12" ref="C6:AH6">INDEX(SP_CS_StockPrice,0,COLUMN())*INDEX(SP_CS_ShareCount_EoP_Diluted,0,COLUMN())</f>
        <v>16565.577999999998</v>
      </c>
      <c r="D6" s="1095">
        <f t="shared" si="12"/>
        <v>17191.080000000002</v>
      </c>
      <c r="E6" s="1095">
        <f t="shared" si="12"/>
        <v>13929.762000000001</v>
      </c>
      <c r="F6" s="1095">
        <f t="shared" si="12"/>
        <v>19478.107179999999</v>
      </c>
      <c r="G6" s="1095">
        <f t="shared" si="12"/>
        <v>25051.928109999997</v>
      </c>
      <c r="H6" s="173">
        <f t="shared" si="12"/>
        <v>24923.460600000002</v>
      </c>
      <c r="I6" s="173">
        <f t="shared" si="12"/>
        <v>26173.216329999996</v>
      </c>
      <c r="J6" s="173">
        <f t="shared" si="12"/>
        <v>26486.902529999999</v>
      </c>
      <c r="K6" s="173">
        <f t="shared" si="12"/>
        <v>30674.17224</v>
      </c>
      <c r="L6" s="1095">
        <f t="shared" si="12"/>
        <v>30674.17224</v>
      </c>
      <c r="M6" s="173">
        <f t="shared" si="12"/>
        <v>29862.571200000002</v>
      </c>
      <c r="N6" s="173">
        <f t="shared" si="12"/>
        <v>26647.901280000005</v>
      </c>
      <c r="O6" s="173">
        <f t="shared" si="12"/>
        <v>23250.390560000003</v>
      </c>
      <c r="P6" s="173">
        <f t="shared" si="12"/>
        <v>24519.1397</v>
      </c>
      <c r="Q6" s="1095">
        <f t="shared" si="12"/>
        <v>24519.1397</v>
      </c>
      <c r="R6" s="173">
        <f t="shared" si="12"/>
        <v>26015.992399999996</v>
      </c>
      <c r="S6" s="173">
        <f t="shared" si="12"/>
        <v>25920.687900000001</v>
      </c>
      <c r="T6" s="173">
        <f t="shared" si="12"/>
        <v>25820.308799999999</v>
      </c>
      <c r="U6" s="173">
        <f t="shared" si="12"/>
        <v>27749.119720000002</v>
      </c>
      <c r="V6" s="1095">
        <f t="shared" si="12"/>
        <v>27749.119720000002</v>
      </c>
      <c r="W6" s="173">
        <f t="shared" si="12"/>
        <v>30621.612840000002</v>
      </c>
      <c r="X6" s="173">
        <f t="shared" si="12"/>
        <v>32738.620529999997</v>
      </c>
      <c r="Y6" s="173">
        <f t="shared" si="12"/>
        <v>34069.290710000001</v>
      </c>
      <c r="Z6" s="173">
        <f t="shared" si="12"/>
        <v>38377.2621</v>
      </c>
      <c r="AA6" s="1095">
        <f t="shared" si="12"/>
        <v>38377.2621</v>
      </c>
      <c r="AB6" s="173">
        <f t="shared" si="12"/>
        <v>34356.467999999993</v>
      </c>
      <c r="AC6" s="173">
        <f t="shared" si="12"/>
        <v>32511.286700000001</v>
      </c>
      <c r="AD6" s="173">
        <f t="shared" si="12"/>
        <v>35088.837</v>
      </c>
      <c r="AE6" s="173">
        <f t="shared" si="12"/>
        <v>27981.287039999999</v>
      </c>
      <c r="AF6" s="1095">
        <f t="shared" si="12"/>
        <v>27981.287039999999</v>
      </c>
      <c r="AG6" s="173">
        <f t="shared" si="12"/>
        <v>31705.88536</v>
      </c>
      <c r="AH6" s="173">
        <f t="shared" si="12"/>
        <v>34447.690880000002</v>
      </c>
      <c r="AI6" s="173">
        <f t="shared" si="13" ref="AI6:BJ6">INDEX(SP_CS_StockPrice,0,COLUMN())*INDEX(SP_CS_ShareCount_EoP_Diluted,0,COLUMN())</f>
        <v>36085.525160000005</v>
      </c>
      <c r="AJ6" s="173">
        <f t="shared" si="13"/>
        <v>36796.807630000003</v>
      </c>
      <c r="AK6" s="1095">
        <f t="shared" si="13"/>
        <v>36796.807630000003</v>
      </c>
      <c r="AL6" s="173">
        <f t="shared" si="13"/>
        <v>30523.19816</v>
      </c>
      <c r="AM6" s="173">
        <f t="shared" si="13"/>
        <v>30342.189360000004</v>
      </c>
      <c r="AN6" s="173">
        <f t="shared" si="13"/>
        <v>28846.703360000003</v>
      </c>
      <c r="AO6" s="173">
        <f t="shared" si="13"/>
        <v>33639.949350000003</v>
      </c>
      <c r="AP6" s="1095">
        <f t="shared" si="13"/>
        <v>33639.949350000003</v>
      </c>
      <c r="AQ6" s="173">
        <f t="shared" si="13"/>
        <v>35876.531389999996</v>
      </c>
      <c r="AR6" s="173">
        <f t="shared" si="13"/>
        <v>39538.155930000001</v>
      </c>
      <c r="AS6" s="173">
        <f t="shared" si="13"/>
        <v>38339.749169999996</v>
      </c>
      <c r="AT6" s="173">
        <f t="shared" si="13"/>
        <v>33859.595679999999</v>
      </c>
      <c r="AU6" s="1095">
        <f t="shared" si="13"/>
        <v>33859.595679999999</v>
      </c>
      <c r="AV6" s="173">
        <f t="shared" si="13"/>
        <v>39649.786139999997</v>
      </c>
      <c r="AW6" s="173">
        <f t="shared" si="13"/>
        <v>34744.600920000004</v>
      </c>
      <c r="AX6" s="173">
        <f t="shared" si="13"/>
        <v>34285.413379999998</v>
      </c>
      <c r="AY6" s="173">
        <f t="shared" si="13"/>
        <v>36598.982400000001</v>
      </c>
      <c r="AZ6" s="1095">
        <f t="shared" si="13"/>
        <v>36598.982400000001</v>
      </c>
      <c r="BA6" s="173">
        <f t="shared" si="13"/>
        <v>29192.92036</v>
      </c>
      <c r="BB6" s="173">
        <f t="shared" si="13"/>
        <v>29062.012360000001</v>
      </c>
      <c r="BC6" s="173">
        <f t="shared" si="13"/>
        <v>29680.069639999998</v>
      </c>
      <c r="BD6" s="173">
        <f t="shared" si="13"/>
        <v>37411.894679999998</v>
      </c>
      <c r="BE6" s="1095">
        <f t="shared" si="13"/>
        <v>37411.894679999998</v>
      </c>
      <c r="BF6" s="173">
        <f t="shared" si="13"/>
        <v>46618.582560000003</v>
      </c>
      <c r="BG6" s="173">
        <f t="shared" si="13"/>
        <v>42991.009559999999</v>
      </c>
      <c r="BH6" s="777">
        <f>INDEX(SP_CS_StockPrice,0,COLUMN())*INDEX(SP_CS_ShareCount_EoP_Diluted,0,COLUMN())</f>
        <v>51039.155760000009</v>
      </c>
      <c r="BI6" s="173">
        <f t="shared" ca="1" si="13"/>
        <v>50618.665660680002</v>
      </c>
      <c r="BJ6" s="1095">
        <f t="shared" ca="1" si="13"/>
        <v>50618.665660680002</v>
      </c>
      <c r="BK6" s="173">
        <f ca="1" t="shared" si="14" ref="BK6:BR6">INDEX(SP_CS_StockPrice,0,COLUMN())*INDEX(SP_CS_ShareCount_EoP_Diluted,0,COLUMN())</f>
        <v>50618.665660680002</v>
      </c>
      <c r="BL6" s="173">
        <f t="shared" ca="1" si="14"/>
        <v>50618.665660680002</v>
      </c>
      <c r="BM6" s="173">
        <f t="shared" ca="1" si="14"/>
        <v>50618.665660680002</v>
      </c>
      <c r="BN6" s="173">
        <f t="shared" ca="1" si="14"/>
        <v>50618.665660680002</v>
      </c>
      <c r="BO6" s="1095">
        <f t="shared" ca="1" si="14"/>
        <v>50618.665660680002</v>
      </c>
      <c r="BP6" s="1095">
        <f t="shared" ca="1" si="14"/>
        <v>50618.665660680002</v>
      </c>
      <c r="BQ6" s="1095">
        <f t="shared" ca="1" si="14"/>
        <v>50618.665660680002</v>
      </c>
      <c r="BR6" s="1095">
        <f t="shared" ca="1" si="14"/>
        <v>50618.665660680002</v>
      </c>
      <c r="BS6" s="175"/>
    </row>
    <row r="7" spans="1:71" s="70" customFormat="1" ht="15">
      <c r="A7" s="263"/>
      <c r="B7" s="264"/>
      <c r="C7" s="1096"/>
      <c r="D7" s="1096"/>
      <c r="E7" s="1096"/>
      <c r="F7" s="1096"/>
      <c r="G7" s="1096"/>
      <c r="H7" s="175"/>
      <c r="I7" s="175"/>
      <c r="J7" s="175"/>
      <c r="K7" s="175"/>
      <c r="L7" s="1096"/>
      <c r="M7" s="175"/>
      <c r="N7" s="175"/>
      <c r="O7" s="175"/>
      <c r="P7" s="175"/>
      <c r="Q7" s="1096"/>
      <c r="R7" s="175"/>
      <c r="S7" s="175"/>
      <c r="T7" s="175"/>
      <c r="U7" s="175"/>
      <c r="V7" s="1096"/>
      <c r="W7" s="175"/>
      <c r="X7" s="175"/>
      <c r="Y7" s="175"/>
      <c r="Z7" s="175"/>
      <c r="AA7" s="1096"/>
      <c r="AB7" s="175"/>
      <c r="AC7" s="175"/>
      <c r="AD7" s="175"/>
      <c r="AE7" s="175"/>
      <c r="AF7" s="1096"/>
      <c r="AG7" s="175"/>
      <c r="AH7" s="175"/>
      <c r="AI7" s="175"/>
      <c r="AJ7" s="175"/>
      <c r="AK7" s="1096"/>
      <c r="AL7" s="175"/>
      <c r="AM7" s="175"/>
      <c r="AN7" s="175"/>
      <c r="AO7" s="175"/>
      <c r="AP7" s="1096"/>
      <c r="AQ7" s="175"/>
      <c r="AR7" s="175"/>
      <c r="AS7" s="175"/>
      <c r="AT7" s="175"/>
      <c r="AU7" s="1096"/>
      <c r="AV7" s="175"/>
      <c r="AW7" s="175"/>
      <c r="AX7" s="175"/>
      <c r="AY7" s="175"/>
      <c r="AZ7" s="1096"/>
      <c r="BA7" s="175"/>
      <c r="BB7" s="175"/>
      <c r="BC7" s="175"/>
      <c r="BD7" s="175"/>
      <c r="BE7" s="1096"/>
      <c r="BF7" s="175"/>
      <c r="BG7" s="175"/>
      <c r="BH7" s="778"/>
      <c r="BI7" s="175"/>
      <c r="BJ7" s="1096"/>
      <c r="BK7" s="175"/>
      <c r="BL7" s="175"/>
      <c r="BM7" s="175"/>
      <c r="BN7" s="175"/>
      <c r="BO7" s="1096"/>
      <c r="BP7" s="1096"/>
      <c r="BQ7" s="1096"/>
      <c r="BR7" s="1096"/>
      <c r="BS7" s="175"/>
    </row>
    <row r="8" spans="1:71" ht="15">
      <c r="A8" s="167" t="s">
        <v>635</v>
      </c>
      <c r="B8" s="826"/>
      <c r="C8" s="874"/>
      <c r="D8" s="874"/>
      <c r="E8" s="874"/>
      <c r="F8" s="874"/>
      <c r="G8" s="874"/>
      <c r="H8" s="874"/>
      <c r="I8" s="874"/>
      <c r="J8" s="874"/>
      <c r="K8" s="874"/>
      <c r="L8" s="874"/>
      <c r="M8" s="874"/>
      <c r="N8" s="874"/>
      <c r="O8" s="874"/>
      <c r="P8" s="874"/>
      <c r="Q8" s="874"/>
      <c r="R8" s="874"/>
      <c r="S8" s="874"/>
      <c r="T8" s="874"/>
      <c r="U8" s="874"/>
      <c r="V8" s="874"/>
      <c r="W8" s="874"/>
      <c r="X8" s="874"/>
      <c r="Y8" s="874"/>
      <c r="Z8" s="874"/>
      <c r="AA8" s="874"/>
      <c r="AB8" s="874"/>
      <c r="AC8" s="874"/>
      <c r="AD8" s="874"/>
      <c r="AE8" s="874"/>
      <c r="AF8" s="874"/>
      <c r="AG8" s="874"/>
      <c r="AH8" s="874"/>
      <c r="AI8" s="874"/>
      <c r="AJ8" s="874"/>
      <c r="AK8" s="874"/>
      <c r="AL8" s="874"/>
      <c r="AM8" s="874"/>
      <c r="AN8" s="874"/>
      <c r="AO8" s="874"/>
      <c r="AP8" s="874"/>
      <c r="AQ8" s="874"/>
      <c r="AR8" s="874"/>
      <c r="AS8" s="874"/>
      <c r="AT8" s="874"/>
      <c r="AU8" s="874"/>
      <c r="AV8" s="874"/>
      <c r="AW8" s="874"/>
      <c r="AX8" s="874"/>
      <c r="AY8" s="874"/>
      <c r="AZ8" s="874"/>
      <c r="BA8" s="874"/>
      <c r="BB8" s="874"/>
      <c r="BC8" s="874"/>
      <c r="BD8" s="874"/>
      <c r="BE8" s="874"/>
      <c r="BF8" s="874"/>
      <c r="BG8" s="874"/>
      <c r="BH8" s="875"/>
      <c r="BI8" s="874"/>
      <c r="BJ8" s="874"/>
      <c r="BK8" s="874"/>
      <c r="BL8" s="874"/>
      <c r="BM8" s="874"/>
      <c r="BN8" s="874"/>
      <c r="BO8" s="874"/>
      <c r="BP8" s="874"/>
      <c r="BQ8" s="874"/>
      <c r="BR8" s="874"/>
      <c r="BS8" s="827"/>
    </row>
    <row r="9" spans="1:71" s="427" customFormat="1" ht="15">
      <c r="A9" s="266" t="str">
        <f>Model!A30</f>
        <v>Property &amp; Liability Total Revenue, mm</v>
      </c>
      <c r="B9" s="267"/>
      <c r="C9" s="1097">
        <f>Model!C30</f>
        <v>0</v>
      </c>
      <c r="D9" s="1097">
        <f>Model!D30</f>
        <v>0</v>
      </c>
      <c r="E9" s="1097">
        <f>Model!E30</f>
        <v>0</v>
      </c>
      <c r="F9" s="1097">
        <f>Model!F30</f>
        <v>0</v>
      </c>
      <c r="G9" s="1097">
        <f>Model!G30</f>
        <v>0</v>
      </c>
      <c r="H9" s="177">
        <f>Model!H30</f>
        <v>0</v>
      </c>
      <c r="I9" s="177">
        <f>Model!I30</f>
        <v>0</v>
      </c>
      <c r="J9" s="177">
        <f>Model!J30</f>
        <v>0</v>
      </c>
      <c r="K9" s="177">
        <f>Model!K30</f>
        <v>0</v>
      </c>
      <c r="L9" s="1097">
        <f>Model!L30</f>
        <v>0</v>
      </c>
      <c r="M9" s="177">
        <f>Model!M30</f>
        <v>0</v>
      </c>
      <c r="N9" s="177">
        <f>Model!N30</f>
        <v>0</v>
      </c>
      <c r="O9" s="177">
        <f>Model!O30</f>
        <v>0</v>
      </c>
      <c r="P9" s="177">
        <f>Model!P30</f>
        <v>0</v>
      </c>
      <c r="Q9" s="1097">
        <f>Model!Q30</f>
        <v>0</v>
      </c>
      <c r="R9" s="177">
        <f>Model!R30</f>
        <v>0</v>
      </c>
      <c r="S9" s="177">
        <f>Model!S30</f>
        <v>0</v>
      </c>
      <c r="T9" s="177">
        <f>Model!T30</f>
        <v>0</v>
      </c>
      <c r="U9" s="177">
        <f>Model!U30</f>
        <v>0</v>
      </c>
      <c r="V9" s="1097">
        <f>Model!V30</f>
        <v>0</v>
      </c>
      <c r="W9" s="177">
        <f>Model!W30</f>
        <v>8234</v>
      </c>
      <c r="X9" s="177">
        <f>Model!X30</f>
        <v>8375</v>
      </c>
      <c r="Y9" s="177">
        <f>Model!Y30</f>
        <v>8449</v>
      </c>
      <c r="Z9" s="177">
        <f>Model!Z30</f>
        <v>8556</v>
      </c>
      <c r="AA9" s="1097">
        <f>Model!AA30</f>
        <v>33614</v>
      </c>
      <c r="AB9" s="177">
        <f>Model!AB30</f>
        <v>8530</v>
      </c>
      <c r="AC9" s="177">
        <f>Model!AC30</f>
        <v>8726</v>
      </c>
      <c r="AD9" s="177">
        <f>Model!AD30</f>
        <v>8922</v>
      </c>
      <c r="AE9" s="177">
        <f>Model!AE30</f>
        <v>8974</v>
      </c>
      <c r="AF9" s="1097">
        <f>Model!AF30</f>
        <v>35152</v>
      </c>
      <c r="AG9" s="177">
        <f>Model!AG30</f>
        <v>8974</v>
      </c>
      <c r="AH9" s="177">
        <f>Model!AH30</f>
        <v>9342</v>
      </c>
      <c r="AI9" s="177">
        <f>Model!AI30</f>
        <v>9425</v>
      </c>
      <c r="AJ9" s="177">
        <f>Model!AJ30</f>
        <v>9376</v>
      </c>
      <c r="AK9" s="1097">
        <f>Model!AK30</f>
        <v>37117</v>
      </c>
      <c r="AL9" s="177">
        <f>Model!AL30</f>
        <v>9296</v>
      </c>
      <c r="AM9" s="177">
        <f>Model!AM30</f>
        <v>9247</v>
      </c>
      <c r="AN9" s="177">
        <f>Model!AN30</f>
        <v>9594</v>
      </c>
      <c r="AO9" s="177">
        <f>Model!AO30</f>
        <v>9721</v>
      </c>
      <c r="AP9" s="1097">
        <f>Model!AP30</f>
        <v>37737</v>
      </c>
      <c r="AQ9" s="177">
        <f>Model!AQ30</f>
        <v>11358</v>
      </c>
      <c r="AR9" s="177">
        <f>Model!AR30</f>
        <v>11526</v>
      </c>
      <c r="AS9" s="177">
        <f>Model!AS30</f>
        <v>11328</v>
      </c>
      <c r="AT9" s="177">
        <f>Model!AT30</f>
        <v>11818</v>
      </c>
      <c r="AU9" s="1097">
        <f>Model!AU30</f>
        <v>46030</v>
      </c>
      <c r="AV9" s="177">
        <f>Model!AV30</f>
        <v>11200</v>
      </c>
      <c r="AW9" s="177">
        <f>Model!AW30</f>
        <v>11073</v>
      </c>
      <c r="AX9" s="177">
        <f>Model!AX30</f>
        <v>12030</v>
      </c>
      <c r="AY9" s="177">
        <f>Model!AY30</f>
        <v>12335</v>
      </c>
      <c r="AZ9" s="1097">
        <f>Model!AZ30</f>
        <v>46638</v>
      </c>
      <c r="BA9" s="177">
        <f>Model!BA30</f>
        <v>12509</v>
      </c>
      <c r="BB9" s="177">
        <f>Model!BB30</f>
        <v>12719</v>
      </c>
      <c r="BC9" s="177">
        <f>Model!BC30</f>
        <v>13228</v>
      </c>
      <c r="BD9" s="177">
        <f>Model!BD30</f>
        <v>13442</v>
      </c>
      <c r="BE9" s="1097">
        <f>Model!BE30</f>
        <v>51898</v>
      </c>
      <c r="BF9" s="177">
        <f>Model!BF30</f>
        <v>13870</v>
      </c>
      <c r="BG9" s="177">
        <f>Model!BG30</f>
        <v>14320</v>
      </c>
      <c r="BH9" s="779">
        <f>Model!BH30</f>
        <v>15155</v>
      </c>
      <c r="BI9" s="177">
        <f>Model!BI30</f>
        <v>14135.05101967213</v>
      </c>
      <c r="BJ9" s="1097">
        <f>Model!BJ30</f>
        <v>57480.05101967213</v>
      </c>
      <c r="BK9" s="177">
        <f>Model!BK30</f>
        <v>14716.672306027398</v>
      </c>
      <c r="BL9" s="177">
        <f>Model!BL30</f>
        <v>15841.59175583562</v>
      </c>
      <c r="BM9" s="177">
        <f>Model!BM30</f>
        <v>16306.207772164384</v>
      </c>
      <c r="BN9" s="177">
        <f>Model!BN30</f>
        <v>15221.601700991781</v>
      </c>
      <c r="BO9" s="1097">
        <f>Model!BO30</f>
        <v>62086.073535019183</v>
      </c>
      <c r="BP9" s="1097">
        <f>Model!BP30</f>
        <v>62283.589180260016</v>
      </c>
      <c r="BQ9" s="1097">
        <f>Model!BQ30</f>
        <v>63903.570380574616</v>
      </c>
      <c r="BR9" s="1097">
        <f>Model!BR30</f>
        <v>65757.64709668381</v>
      </c>
      <c r="BS9" s="177"/>
    </row>
    <row r="10" spans="1:71" s="427" customFormat="1" ht="15">
      <c r="A10" s="266" t="str">
        <f>Model!A31</f>
        <v>Protection Services Total Revenue, mm</v>
      </c>
      <c r="B10" s="267"/>
      <c r="C10" s="1097">
        <f>Model!C31</f>
        <v>0</v>
      </c>
      <c r="D10" s="1097">
        <f>Model!D31</f>
        <v>0</v>
      </c>
      <c r="E10" s="1097">
        <f>Model!E31</f>
        <v>0</v>
      </c>
      <c r="F10" s="1097">
        <f>Model!F31</f>
        <v>0</v>
      </c>
      <c r="G10" s="1097">
        <f>Model!G31</f>
        <v>0</v>
      </c>
      <c r="H10" s="177">
        <f>Model!H31</f>
        <v>0</v>
      </c>
      <c r="I10" s="177">
        <f>Model!I31</f>
        <v>0</v>
      </c>
      <c r="J10" s="177">
        <f>Model!J31</f>
        <v>0</v>
      </c>
      <c r="K10" s="177">
        <f>Model!K31</f>
        <v>0</v>
      </c>
      <c r="L10" s="1097">
        <f>Model!L31</f>
        <v>0</v>
      </c>
      <c r="M10" s="177">
        <f>Model!M31</f>
        <v>0</v>
      </c>
      <c r="N10" s="177">
        <f>Model!N31</f>
        <v>0</v>
      </c>
      <c r="O10" s="177">
        <f>Model!O31</f>
        <v>0</v>
      </c>
      <c r="P10" s="177">
        <f>Model!P31</f>
        <v>0</v>
      </c>
      <c r="Q10" s="1097">
        <f>Model!Q31</f>
        <v>0</v>
      </c>
      <c r="R10" s="177">
        <f>Model!R31</f>
        <v>0</v>
      </c>
      <c r="S10" s="177">
        <f>Model!S31</f>
        <v>0</v>
      </c>
      <c r="T10" s="177">
        <f>Model!T31</f>
        <v>0</v>
      </c>
      <c r="U10" s="177">
        <f>Model!U31</f>
        <v>0</v>
      </c>
      <c r="V10" s="1097">
        <f>Model!V31</f>
        <v>0</v>
      </c>
      <c r="W10" s="177">
        <f>Model!W31</f>
        <v>247</v>
      </c>
      <c r="X10" s="177">
        <f>Model!X31</f>
        <v>260</v>
      </c>
      <c r="Y10" s="177">
        <f>Model!Y31</f>
        <v>272</v>
      </c>
      <c r="Z10" s="177">
        <f>Model!Z31</f>
        <v>280</v>
      </c>
      <c r="AA10" s="1097">
        <f>Model!AA31</f>
        <v>1059</v>
      </c>
      <c r="AB10" s="177">
        <f>Model!AB31</f>
        <v>313</v>
      </c>
      <c r="AC10" s="177">
        <f>Model!AC31</f>
        <v>320</v>
      </c>
      <c r="AD10" s="177">
        <f>Model!AD31</f>
        <v>329</v>
      </c>
      <c r="AE10" s="177">
        <f>Model!AE31</f>
        <v>356</v>
      </c>
      <c r="AF10" s="1097">
        <f>Model!AF31</f>
        <v>1318</v>
      </c>
      <c r="AG10" s="177">
        <f>Model!AG31</f>
        <v>392</v>
      </c>
      <c r="AH10" s="177">
        <f>Model!AH31</f>
        <v>405</v>
      </c>
      <c r="AI10" s="177">
        <f>Model!AI31</f>
        <v>418</v>
      </c>
      <c r="AJ10" s="177">
        <f>Model!AJ31</f>
        <v>434</v>
      </c>
      <c r="AK10" s="1097">
        <f>Model!AK31</f>
        <v>1649</v>
      </c>
      <c r="AL10" s="177">
        <f>Model!AL31</f>
        <v>430</v>
      </c>
      <c r="AM10" s="177">
        <f>Model!AM31</f>
        <v>476</v>
      </c>
      <c r="AN10" s="177">
        <f>Model!AN31</f>
        <v>498</v>
      </c>
      <c r="AO10" s="177">
        <f>Model!AO31</f>
        <v>518</v>
      </c>
      <c r="AP10" s="1097">
        <f>Model!AP31</f>
        <v>1922</v>
      </c>
      <c r="AQ10" s="177">
        <f>Model!AQ31</f>
        <v>562</v>
      </c>
      <c r="AR10" s="177">
        <f>Model!AR31</f>
        <v>587</v>
      </c>
      <c r="AS10" s="177">
        <f>Model!AS31</f>
        <v>601</v>
      </c>
      <c r="AT10" s="177">
        <f>Model!AT31</f>
        <v>611</v>
      </c>
      <c r="AU10" s="1097">
        <f>Model!AU31</f>
        <v>2361</v>
      </c>
      <c r="AV10" s="177">
        <f>Model!AV31</f>
        <v>614</v>
      </c>
      <c r="AW10" s="177">
        <f>Model!AW31</f>
        <v>599</v>
      </c>
      <c r="AX10" s="177">
        <f>Model!AX31</f>
        <v>627</v>
      </c>
      <c r="AY10" s="177">
        <f>Model!AY31</f>
        <v>647</v>
      </c>
      <c r="AZ10" s="1097">
        <f>Model!AZ31</f>
        <v>2487</v>
      </c>
      <c r="BA10" s="177">
        <f>Model!BA31</f>
        <v>670</v>
      </c>
      <c r="BB10" s="177">
        <f>Model!BB31</f>
        <v>682</v>
      </c>
      <c r="BC10" s="177">
        <f>Model!BC31</f>
        <v>689</v>
      </c>
      <c r="BD10" s="177">
        <f>Model!BD31</f>
        <v>732</v>
      </c>
      <c r="BE10" s="1097">
        <f>Model!BE31</f>
        <v>2773</v>
      </c>
      <c r="BF10" s="177">
        <f>Model!BF31</f>
        <v>748</v>
      </c>
      <c r="BG10" s="177">
        <f>Model!BG31</f>
        <v>772</v>
      </c>
      <c r="BH10" s="779">
        <f>Model!BH31</f>
        <v>832</v>
      </c>
      <c r="BI10" s="177">
        <f>Model!BI31</f>
        <v>788.50443442622941</v>
      </c>
      <c r="BJ10" s="1097">
        <f>Model!BJ31</f>
        <v>3140.5044344262296</v>
      </c>
      <c r="BK10" s="177">
        <f>Model!BK31</f>
        <v>678.51193013698639</v>
      </c>
      <c r="BL10" s="177">
        <f>Model!BL31</f>
        <v>738.35097308219179</v>
      </c>
      <c r="BM10" s="177">
        <f>Model!BM31</f>
        <v>764.53379506849319</v>
      </c>
      <c r="BN10" s="177">
        <f>Model!BN31</f>
        <v>830.42217956164382</v>
      </c>
      <c r="BO10" s="1097">
        <f>Model!BO31</f>
        <v>3011.818877849315</v>
      </c>
      <c r="BP10" s="1097">
        <f>Model!BP31</f>
        <v>3171.5719323999997</v>
      </c>
      <c r="BQ10" s="1097">
        <f>Model!BQ31</f>
        <v>3336.4704732880009</v>
      </c>
      <c r="BR10" s="1097">
        <f>Model!BR31</f>
        <v>3510.4923345325606</v>
      </c>
      <c r="BS10" s="177"/>
    </row>
    <row r="11" spans="1:71" s="427" customFormat="1" ht="15">
      <c r="A11" s="266" t="str">
        <f>Model!A32</f>
        <v>Allstate Life Total Revenue, mm</v>
      </c>
      <c r="B11" s="267"/>
      <c r="C11" s="1097">
        <f>Model!C32</f>
        <v>0</v>
      </c>
      <c r="D11" s="1097">
        <f>Model!D32</f>
        <v>0</v>
      </c>
      <c r="E11" s="1097">
        <f>Model!E32</f>
        <v>0</v>
      </c>
      <c r="F11" s="1097">
        <f>Model!F32</f>
        <v>0</v>
      </c>
      <c r="G11" s="1097">
        <f>Model!G32</f>
        <v>0</v>
      </c>
      <c r="H11" s="177">
        <f>Model!H32</f>
        <v>0</v>
      </c>
      <c r="I11" s="177">
        <f>Model!I32</f>
        <v>0</v>
      </c>
      <c r="J11" s="177">
        <f>Model!J32</f>
        <v>0</v>
      </c>
      <c r="K11" s="177">
        <f>Model!K32</f>
        <v>0</v>
      </c>
      <c r="L11" s="1097">
        <f>Model!L32</f>
        <v>0</v>
      </c>
      <c r="M11" s="177">
        <f>Model!M32</f>
        <v>0</v>
      </c>
      <c r="N11" s="177">
        <f>Model!N32</f>
        <v>0</v>
      </c>
      <c r="O11" s="177">
        <f>Model!O32</f>
        <v>0</v>
      </c>
      <c r="P11" s="177">
        <f>Model!P32</f>
        <v>0</v>
      </c>
      <c r="Q11" s="1097">
        <f>Model!Q32</f>
        <v>0</v>
      </c>
      <c r="R11" s="177">
        <f>Model!R32</f>
        <v>0</v>
      </c>
      <c r="S11" s="177">
        <f>Model!S32</f>
        <v>0</v>
      </c>
      <c r="T11" s="177">
        <f>Model!T32</f>
        <v>0</v>
      </c>
      <c r="U11" s="177">
        <f>Model!U32</f>
        <v>0</v>
      </c>
      <c r="V11" s="1097">
        <f>Model!V32</f>
        <v>0</v>
      </c>
      <c r="W11" s="177">
        <f>Model!W32</f>
        <v>469</v>
      </c>
      <c r="X11" s="177">
        <f>Model!X32</f>
        <v>471</v>
      </c>
      <c r="Y11" s="177">
        <f>Model!Y32</f>
        <v>463</v>
      </c>
      <c r="Z11" s="177">
        <f>Model!Z32</f>
        <v>485</v>
      </c>
      <c r="AA11" s="1097">
        <f>Model!AA32</f>
        <v>1888</v>
      </c>
      <c r="AB11" s="177">
        <f>Model!AB32</f>
        <v>472</v>
      </c>
      <c r="AC11" s="177">
        <f>Model!AC32</f>
        <v>481</v>
      </c>
      <c r="AD11" s="177">
        <f>Model!AD32</f>
        <v>477</v>
      </c>
      <c r="AE11" s="177">
        <f>Model!AE32</f>
        <v>495</v>
      </c>
      <c r="AF11" s="1097">
        <f>Model!AF32</f>
        <v>1925</v>
      </c>
      <c r="AG11" s="177">
        <f>Model!AG32</f>
        <v>486</v>
      </c>
      <c r="AH11" s="177">
        <f>Model!AH32</f>
        <v>492</v>
      </c>
      <c r="AI11" s="177">
        <f>Model!AI32</f>
        <v>495</v>
      </c>
      <c r="AJ11" s="177">
        <f>Model!AJ32</f>
        <v>510</v>
      </c>
      <c r="AK11" s="1097">
        <f>Model!AK32</f>
        <v>1983</v>
      </c>
      <c r="AL11" s="177">
        <f>Model!AL32</f>
        <v>462</v>
      </c>
      <c r="AM11" s="177">
        <f>Model!AM32</f>
        <v>505</v>
      </c>
      <c r="AN11" s="177">
        <f>Model!AN32</f>
        <v>490</v>
      </c>
      <c r="AO11" s="177">
        <f>Model!AO32</f>
        <v>496</v>
      </c>
      <c r="AP11" s="1097">
        <f>Model!AP32</f>
        <v>1953</v>
      </c>
      <c r="AQ11" s="177">
        <f>Model!AQ32</f>
        <v>0</v>
      </c>
      <c r="AR11" s="177">
        <f>Model!AR32</f>
        <v>0</v>
      </c>
      <c r="AS11" s="177">
        <f>Model!AS32</f>
        <v>0</v>
      </c>
      <c r="AT11" s="177">
        <f>Model!AT32</f>
        <v>0</v>
      </c>
      <c r="AU11" s="1097">
        <f>Model!AU32</f>
        <v>0</v>
      </c>
      <c r="AV11" s="177">
        <f>Model!AV32</f>
        <v>0</v>
      </c>
      <c r="AW11" s="177">
        <f>Model!AW32</f>
        <v>0</v>
      </c>
      <c r="AX11" s="177">
        <f>Model!AX32</f>
        <v>0</v>
      </c>
      <c r="AY11" s="177">
        <f>Model!AY32</f>
        <v>0</v>
      </c>
      <c r="AZ11" s="1097">
        <f>Model!AZ32</f>
        <v>0</v>
      </c>
      <c r="BA11" s="177">
        <f>Model!BA32</f>
        <v>0</v>
      </c>
      <c r="BB11" s="177">
        <f>Model!BB32</f>
        <v>0</v>
      </c>
      <c r="BC11" s="177">
        <f>Model!BC32</f>
        <v>0</v>
      </c>
      <c r="BD11" s="177">
        <f>Model!BD32</f>
        <v>0</v>
      </c>
      <c r="BE11" s="1097">
        <f>Model!BE32</f>
        <v>0</v>
      </c>
      <c r="BF11" s="177">
        <f>Model!BF32</f>
        <v>0</v>
      </c>
      <c r="BG11" s="177">
        <f>Model!BG32</f>
        <v>0</v>
      </c>
      <c r="BH11" s="779">
        <f>Model!BH32</f>
        <v>0</v>
      </c>
      <c r="BI11" s="177">
        <f>Model!BI32</f>
        <v>0</v>
      </c>
      <c r="BJ11" s="1097">
        <f>Model!BJ32</f>
        <v>0</v>
      </c>
      <c r="BK11" s="177">
        <f>Model!BK32</f>
        <v>0</v>
      </c>
      <c r="BL11" s="177">
        <f>Model!BL32</f>
        <v>0</v>
      </c>
      <c r="BM11" s="177">
        <f>Model!BM32</f>
        <v>0</v>
      </c>
      <c r="BN11" s="177">
        <f>Model!BN32</f>
        <v>0</v>
      </c>
      <c r="BO11" s="1097">
        <f>Model!BO32</f>
        <v>0</v>
      </c>
      <c r="BP11" s="1097">
        <f>Model!BP32</f>
        <v>0</v>
      </c>
      <c r="BQ11" s="1097">
        <f>Model!BQ32</f>
        <v>0</v>
      </c>
      <c r="BR11" s="1097">
        <f>Model!BR32</f>
        <v>0</v>
      </c>
      <c r="BS11" s="177"/>
    </row>
    <row r="12" spans="1:71" s="427" customFormat="1" ht="15">
      <c r="A12" s="266" t="str">
        <f>Model!A33</f>
        <v>Allstate Health and Benefits Total Revenue, mm</v>
      </c>
      <c r="B12" s="267"/>
      <c r="C12" s="1097">
        <f>Model!C33</f>
        <v>0</v>
      </c>
      <c r="D12" s="1097">
        <f>Model!D33</f>
        <v>0</v>
      </c>
      <c r="E12" s="1097">
        <f>Model!E33</f>
        <v>0</v>
      </c>
      <c r="F12" s="1097">
        <f>Model!F33</f>
        <v>0</v>
      </c>
      <c r="G12" s="1097">
        <f>Model!G33</f>
        <v>0</v>
      </c>
      <c r="H12" s="177">
        <f>Model!H33</f>
        <v>0</v>
      </c>
      <c r="I12" s="177">
        <f>Model!I33</f>
        <v>0</v>
      </c>
      <c r="J12" s="177">
        <f>Model!J33</f>
        <v>0</v>
      </c>
      <c r="K12" s="177">
        <f>Model!K33</f>
        <v>0</v>
      </c>
      <c r="L12" s="1097">
        <f>Model!L33</f>
        <v>0</v>
      </c>
      <c r="M12" s="177">
        <f>Model!M33</f>
        <v>0</v>
      </c>
      <c r="N12" s="177">
        <f>Model!N33</f>
        <v>0</v>
      </c>
      <c r="O12" s="177">
        <f>Model!O33</f>
        <v>0</v>
      </c>
      <c r="P12" s="177">
        <f>Model!P33</f>
        <v>0</v>
      </c>
      <c r="Q12" s="1097">
        <f>Model!Q33</f>
        <v>0</v>
      </c>
      <c r="R12" s="177">
        <f>Model!R33</f>
        <v>0</v>
      </c>
      <c r="S12" s="177">
        <f>Model!S33</f>
        <v>0</v>
      </c>
      <c r="T12" s="177">
        <f>Model!T33</f>
        <v>0</v>
      </c>
      <c r="U12" s="177">
        <f>Model!U33</f>
        <v>0</v>
      </c>
      <c r="V12" s="1097">
        <f>Model!V33</f>
        <v>0</v>
      </c>
      <c r="W12" s="177">
        <f>Model!W33</f>
        <v>286</v>
      </c>
      <c r="X12" s="177">
        <f>Model!X33</f>
        <v>288</v>
      </c>
      <c r="Y12" s="177">
        <f>Model!Y33</f>
        <v>292</v>
      </c>
      <c r="Z12" s="177">
        <f>Model!Z33</f>
        <v>291</v>
      </c>
      <c r="AA12" s="1097">
        <f>Model!AA33</f>
        <v>1157</v>
      </c>
      <c r="AB12" s="177">
        <f>Model!AB33</f>
        <v>303</v>
      </c>
      <c r="AC12" s="177">
        <f>Model!AC33</f>
        <v>302</v>
      </c>
      <c r="AD12" s="177">
        <f>Model!AD33</f>
        <v>306</v>
      </c>
      <c r="AE12" s="177">
        <f>Model!AE33</f>
        <v>292</v>
      </c>
      <c r="AF12" s="1097">
        <f>Model!AF33</f>
        <v>1203</v>
      </c>
      <c r="AG12" s="177">
        <f>Model!AG33</f>
        <v>311</v>
      </c>
      <c r="AH12" s="177">
        <f>Model!AH33</f>
        <v>307</v>
      </c>
      <c r="AI12" s="177">
        <f>Model!AI33</f>
        <v>314</v>
      </c>
      <c r="AJ12" s="177">
        <f>Model!AJ33</f>
        <v>308</v>
      </c>
      <c r="AK12" s="1097">
        <f>Model!AK33</f>
        <v>1240</v>
      </c>
      <c r="AL12" s="177">
        <f>Model!AL33</f>
        <v>288</v>
      </c>
      <c r="AM12" s="177">
        <f>Model!AM33</f>
        <v>294</v>
      </c>
      <c r="AN12" s="177">
        <f>Model!AN33</f>
        <v>308</v>
      </c>
      <c r="AO12" s="177">
        <f>Model!AO33</f>
        <v>290</v>
      </c>
      <c r="AP12" s="1097">
        <f>Model!AP33</f>
        <v>1180</v>
      </c>
      <c r="AQ12" s="177">
        <f>Model!AQ33</f>
        <v>556</v>
      </c>
      <c r="AR12" s="177">
        <f>Model!AR33</f>
        <v>553</v>
      </c>
      <c r="AS12" s="177">
        <f>Model!AS33</f>
        <v>562</v>
      </c>
      <c r="AT12" s="177">
        <f>Model!AT33</f>
        <v>590</v>
      </c>
      <c r="AU12" s="1097">
        <f>Model!AU33</f>
        <v>2261</v>
      </c>
      <c r="AV12" s="177">
        <f>Model!AV33</f>
        <v>573</v>
      </c>
      <c r="AW12" s="177">
        <f>Model!AW33</f>
        <v>561</v>
      </c>
      <c r="AX12" s="177">
        <f>Model!AX33</f>
        <v>564</v>
      </c>
      <c r="AY12" s="177">
        <f>Model!AY33</f>
        <v>561</v>
      </c>
      <c r="AZ12" s="1097">
        <f>Model!AZ33</f>
        <v>2259</v>
      </c>
      <c r="BA12" s="177">
        <f>Model!BA33</f>
        <v>585</v>
      </c>
      <c r="BB12" s="177">
        <f>Model!BB33</f>
        <v>576</v>
      </c>
      <c r="BC12" s="177">
        <f>Model!BC33</f>
        <v>585</v>
      </c>
      <c r="BD12" s="177">
        <f>Model!BD33</f>
        <v>632</v>
      </c>
      <c r="BE12" s="1097">
        <f>Model!BE33</f>
        <v>2378</v>
      </c>
      <c r="BF12" s="177">
        <f>Model!BF33</f>
        <v>637</v>
      </c>
      <c r="BG12" s="177">
        <f>Model!BG33</f>
        <v>620</v>
      </c>
      <c r="BH12" s="779">
        <f>Model!BH33</f>
        <v>630</v>
      </c>
      <c r="BI12" s="177">
        <f>Model!BI33</f>
        <v>616.86359377049178</v>
      </c>
      <c r="BJ12" s="1097">
        <f>Model!BJ33</f>
        <v>2503.8635937704917</v>
      </c>
      <c r="BK12" s="177">
        <f>Model!BK33</f>
        <v>596.50988863013697</v>
      </c>
      <c r="BL12" s="177">
        <f>Model!BL33</f>
        <v>592.94004728767118</v>
      </c>
      <c r="BM12" s="177">
        <f>Model!BM33</f>
        <v>597.85934690410966</v>
      </c>
      <c r="BN12" s="177">
        <f>Model!BN33</f>
        <v>591.60967979835618</v>
      </c>
      <c r="BO12" s="1097">
        <f>Model!BO33</f>
        <v>2378.9189626202742</v>
      </c>
      <c r="BP12" s="1097">
        <f>Model!BP33</f>
        <v>2457.799209284</v>
      </c>
      <c r="BQ12" s="1097">
        <f>Model!BQ33</f>
        <v>2520.76457955968</v>
      </c>
      <c r="BR12" s="1097">
        <f>Model!BR33</f>
        <v>2585.600338823574</v>
      </c>
      <c r="BS12" s="177"/>
    </row>
    <row r="13" spans="1:71" s="427" customFormat="1" ht="15">
      <c r="A13" s="266" t="str">
        <f>Model!A34</f>
        <v>Allstate Annuities Total Revenue, mm</v>
      </c>
      <c r="B13" s="267"/>
      <c r="C13" s="1097">
        <f>Model!C34</f>
        <v>0</v>
      </c>
      <c r="D13" s="1097">
        <f>Model!D34</f>
        <v>0</v>
      </c>
      <c r="E13" s="1097">
        <f>Model!E34</f>
        <v>0</v>
      </c>
      <c r="F13" s="1097">
        <f>Model!F34</f>
        <v>0</v>
      </c>
      <c r="G13" s="1097">
        <f>Model!G34</f>
        <v>0</v>
      </c>
      <c r="H13" s="177">
        <f>Model!H34</f>
        <v>0</v>
      </c>
      <c r="I13" s="177">
        <f>Model!I34</f>
        <v>0</v>
      </c>
      <c r="J13" s="177">
        <f>Model!J34</f>
        <v>0</v>
      </c>
      <c r="K13" s="177">
        <f>Model!K34</f>
        <v>0</v>
      </c>
      <c r="L13" s="1097">
        <f>Model!L34</f>
        <v>0</v>
      </c>
      <c r="M13" s="177">
        <f>Model!M34</f>
        <v>0</v>
      </c>
      <c r="N13" s="177">
        <f>Model!N34</f>
        <v>0</v>
      </c>
      <c r="O13" s="177">
        <f>Model!O34</f>
        <v>0</v>
      </c>
      <c r="P13" s="177">
        <f>Model!P34</f>
        <v>0</v>
      </c>
      <c r="Q13" s="1097">
        <f>Model!Q34</f>
        <v>0</v>
      </c>
      <c r="R13" s="177">
        <f>Model!R34</f>
        <v>0</v>
      </c>
      <c r="S13" s="177">
        <f>Model!S34</f>
        <v>0</v>
      </c>
      <c r="T13" s="177">
        <f>Model!T34</f>
        <v>0</v>
      </c>
      <c r="U13" s="177">
        <f>Model!U34</f>
        <v>0</v>
      </c>
      <c r="V13" s="1097">
        <f>Model!V34</f>
        <v>0</v>
      </c>
      <c r="W13" s="177">
        <f>Model!W34</f>
        <v>290</v>
      </c>
      <c r="X13" s="177">
        <f>Model!X34</f>
        <v>352</v>
      </c>
      <c r="Y13" s="177">
        <f>Model!Y34</f>
        <v>346</v>
      </c>
      <c r="Z13" s="177">
        <f>Model!Z34</f>
        <v>375</v>
      </c>
      <c r="AA13" s="1097">
        <f>Model!AA34</f>
        <v>1363</v>
      </c>
      <c r="AB13" s="177">
        <f>Model!AB34</f>
        <v>264</v>
      </c>
      <c r="AC13" s="177">
        <f>Model!AC34</f>
        <v>302</v>
      </c>
      <c r="AD13" s="177">
        <f>Model!AD34</f>
        <v>316</v>
      </c>
      <c r="AE13" s="177">
        <f>Model!AE34</f>
        <v>63</v>
      </c>
      <c r="AF13" s="1097">
        <f>Model!AF34</f>
        <v>945</v>
      </c>
      <c r="AG13" s="177">
        <f>Model!AG34</f>
        <v>349</v>
      </c>
      <c r="AH13" s="177">
        <f>Model!AH34</f>
        <v>348</v>
      </c>
      <c r="AI13" s="177">
        <f>Model!AI34</f>
        <v>274</v>
      </c>
      <c r="AJ13" s="177">
        <f>Model!AJ34</f>
        <v>305</v>
      </c>
      <c r="AK13" s="1097">
        <f>Model!AK34</f>
        <v>1276</v>
      </c>
      <c r="AL13" s="177">
        <f>Model!AL34</f>
        <v>-220</v>
      </c>
      <c r="AM13" s="177">
        <f>Model!AM34</f>
        <v>313</v>
      </c>
      <c r="AN13" s="177">
        <f>Model!AN34</f>
        <v>360</v>
      </c>
      <c r="AO13" s="177">
        <f>Model!AO34</f>
        <v>597</v>
      </c>
      <c r="AP13" s="1097">
        <f>Model!AP34</f>
        <v>1050</v>
      </c>
      <c r="AQ13" s="177">
        <f>Model!AQ34</f>
        <v>0</v>
      </c>
      <c r="AR13" s="177">
        <f>Model!AR34</f>
        <v>0</v>
      </c>
      <c r="AS13" s="177">
        <f>Model!AS34</f>
        <v>0</v>
      </c>
      <c r="AT13" s="177">
        <f>Model!AT34</f>
        <v>0</v>
      </c>
      <c r="AU13" s="1097">
        <f>Model!AU34</f>
        <v>0</v>
      </c>
      <c r="AV13" s="177">
        <f>Model!AV34</f>
        <v>0</v>
      </c>
      <c r="AW13" s="177">
        <f>Model!AW34</f>
        <v>0</v>
      </c>
      <c r="AX13" s="177">
        <f>Model!AX34</f>
        <v>0</v>
      </c>
      <c r="AY13" s="177">
        <f>Model!AY34</f>
        <v>0</v>
      </c>
      <c r="AZ13" s="1097">
        <f>Model!AZ34</f>
        <v>0</v>
      </c>
      <c r="BA13" s="177">
        <f>Model!BA34</f>
        <v>0</v>
      </c>
      <c r="BB13" s="177">
        <f>Model!BB34</f>
        <v>0</v>
      </c>
      <c r="BC13" s="177">
        <f>Model!BC34</f>
        <v>0</v>
      </c>
      <c r="BD13" s="177">
        <f>Model!BD34</f>
        <v>0</v>
      </c>
      <c r="BE13" s="1097">
        <f>Model!BE34</f>
        <v>0</v>
      </c>
      <c r="BF13" s="177">
        <f>Model!BF34</f>
        <v>0</v>
      </c>
      <c r="BG13" s="177">
        <f>Model!BG34</f>
        <v>0</v>
      </c>
      <c r="BH13" s="779">
        <f>Model!BH34</f>
        <v>0</v>
      </c>
      <c r="BI13" s="177">
        <f>Model!BI34</f>
        <v>0</v>
      </c>
      <c r="BJ13" s="1097">
        <f>Model!BJ34</f>
        <v>0</v>
      </c>
      <c r="BK13" s="177">
        <f>Model!BK34</f>
        <v>0</v>
      </c>
      <c r="BL13" s="177">
        <f>Model!BL34</f>
        <v>0</v>
      </c>
      <c r="BM13" s="177">
        <f>Model!BM34</f>
        <v>0</v>
      </c>
      <c r="BN13" s="177">
        <f>Model!BN34</f>
        <v>0</v>
      </c>
      <c r="BO13" s="1097">
        <f>Model!BO34</f>
        <v>0</v>
      </c>
      <c r="BP13" s="1097">
        <f>Model!BP34</f>
        <v>0</v>
      </c>
      <c r="BQ13" s="1097">
        <f>Model!BQ34</f>
        <v>0</v>
      </c>
      <c r="BR13" s="1097">
        <f>Model!BR34</f>
        <v>0</v>
      </c>
      <c r="BS13" s="177"/>
    </row>
    <row r="14" spans="1:71" s="427" customFormat="1" ht="15">
      <c r="A14" s="266" t="str">
        <f>Model!A35</f>
        <v>Corporate &amp; Other Total Revenue, mm</v>
      </c>
      <c r="B14" s="267"/>
      <c r="C14" s="1097">
        <f>Model!C35</f>
        <v>0</v>
      </c>
      <c r="D14" s="1097">
        <f>Model!D35</f>
        <v>0</v>
      </c>
      <c r="E14" s="1097">
        <f>Model!E35</f>
        <v>0</v>
      </c>
      <c r="F14" s="1097">
        <f>Model!F35</f>
        <v>0</v>
      </c>
      <c r="G14" s="1097">
        <f>Model!G35</f>
        <v>0</v>
      </c>
      <c r="H14" s="177">
        <f>Model!H35</f>
        <v>0</v>
      </c>
      <c r="I14" s="177">
        <f>Model!I35</f>
        <v>0</v>
      </c>
      <c r="J14" s="177">
        <f>Model!J35</f>
        <v>0</v>
      </c>
      <c r="K14" s="177">
        <f>Model!K35</f>
        <v>0</v>
      </c>
      <c r="L14" s="1097">
        <f>Model!L35</f>
        <v>0</v>
      </c>
      <c r="M14" s="177">
        <f>Model!M35</f>
        <v>0</v>
      </c>
      <c r="N14" s="177">
        <f>Model!N35</f>
        <v>0</v>
      </c>
      <c r="O14" s="177">
        <f>Model!O35</f>
        <v>0</v>
      </c>
      <c r="P14" s="177">
        <f>Model!P35</f>
        <v>0</v>
      </c>
      <c r="Q14" s="1097">
        <f>Model!Q35</f>
        <v>0</v>
      </c>
      <c r="R14" s="177">
        <f>Model!R35</f>
        <v>0</v>
      </c>
      <c r="S14" s="177">
        <f>Model!S35</f>
        <v>0</v>
      </c>
      <c r="T14" s="177">
        <f>Model!T35</f>
        <v>0</v>
      </c>
      <c r="U14" s="177">
        <f>Model!U35</f>
        <v>0</v>
      </c>
      <c r="V14" s="1097">
        <f>Model!V35</f>
        <v>0</v>
      </c>
      <c r="W14" s="177">
        <f>Model!W35</f>
        <v>11</v>
      </c>
      <c r="X14" s="177">
        <f>Model!X35</f>
        <v>10</v>
      </c>
      <c r="Y14" s="177">
        <f>Model!Y35</f>
        <v>10</v>
      </c>
      <c r="Z14" s="177">
        <f>Model!Z35</f>
        <v>10</v>
      </c>
      <c r="AA14" s="1097">
        <f>Model!AA35</f>
        <v>41</v>
      </c>
      <c r="AB14" s="177">
        <f>Model!AB35</f>
        <v>13</v>
      </c>
      <c r="AC14" s="177">
        <f>Model!AC35</f>
        <v>23</v>
      </c>
      <c r="AD14" s="177">
        <f>Model!AD35</f>
        <v>20</v>
      </c>
      <c r="AE14" s="177">
        <f>Model!AE35</f>
        <v>15</v>
      </c>
      <c r="AF14" s="1097">
        <f>Model!AF35</f>
        <v>71</v>
      </c>
      <c r="AG14" s="177">
        <f>Model!AG35</f>
        <v>12</v>
      </c>
      <c r="AH14" s="177">
        <f>Model!AH35</f>
        <v>19</v>
      </c>
      <c r="AI14" s="177">
        <f>Model!AI35</f>
        <v>21</v>
      </c>
      <c r="AJ14" s="177">
        <f>Model!AJ35</f>
        <v>18</v>
      </c>
      <c r="AK14" s="1097">
        <f>Model!AK35</f>
        <v>70</v>
      </c>
      <c r="AL14" s="177">
        <f>Model!AL35</f>
        <v>14</v>
      </c>
      <c r="AM14" s="177">
        <f>Model!AM35</f>
        <v>11</v>
      </c>
      <c r="AN14" s="177">
        <f>Model!AN35</f>
        <v>12</v>
      </c>
      <c r="AO14" s="177">
        <f>Model!AO35</f>
        <v>10</v>
      </c>
      <c r="AP14" s="1097">
        <f>Model!AP35</f>
        <v>47</v>
      </c>
      <c r="AQ14" s="177">
        <f>Model!AQ35</f>
        <v>16</v>
      </c>
      <c r="AR14" s="177">
        <f>Model!AR35</f>
        <v>26</v>
      </c>
      <c r="AS14" s="177">
        <f>Model!AS35</f>
        <v>35</v>
      </c>
      <c r="AT14" s="177">
        <f>Model!AT35</f>
        <v>34</v>
      </c>
      <c r="AU14" s="1097">
        <f>Model!AU35</f>
        <v>111</v>
      </c>
      <c r="AV14" s="177">
        <f>Model!AV35</f>
        <v>-10</v>
      </c>
      <c r="AW14" s="177">
        <f>Model!AW35</f>
        <v>24</v>
      </c>
      <c r="AX14" s="177">
        <f>Model!AX35</f>
        <v>26</v>
      </c>
      <c r="AY14" s="177">
        <f>Model!AY35</f>
        <v>136</v>
      </c>
      <c r="AZ14" s="1097">
        <f>Model!AZ35</f>
        <v>176</v>
      </c>
      <c r="BA14" s="177">
        <f>Model!BA35</f>
        <v>55</v>
      </c>
      <c r="BB14" s="177">
        <f>Model!BB35</f>
        <v>37</v>
      </c>
      <c r="BC14" s="177">
        <f>Model!BC35</f>
        <v>29</v>
      </c>
      <c r="BD14" s="177">
        <f>Model!BD35</f>
        <v>62</v>
      </c>
      <c r="BE14" s="1097">
        <f>Model!BE35</f>
        <v>183</v>
      </c>
      <c r="BF14" s="177">
        <f>Model!BF35</f>
        <v>39</v>
      </c>
      <c r="BG14" s="177">
        <f>Model!BG35</f>
        <v>40</v>
      </c>
      <c r="BH14" s="779">
        <f>Model!BH35</f>
        <v>59</v>
      </c>
      <c r="BI14" s="177">
        <f>Model!BI35</f>
        <v>38.312021857923497</v>
      </c>
      <c r="BJ14" s="1097">
        <f>Model!BJ35</f>
        <v>176.3120218579235</v>
      </c>
      <c r="BK14" s="177">
        <f>Model!BK35</f>
        <v>37.504383561643834</v>
      </c>
      <c r="BL14" s="177">
        <f>Model!BL35</f>
        <v>37.235150684931504</v>
      </c>
      <c r="BM14" s="177">
        <f>Model!BM35</f>
        <v>36.955726027397262</v>
      </c>
      <c r="BN14" s="177">
        <f>Model!BN35</f>
        <v>36.486904109589041</v>
      </c>
      <c r="BO14" s="1097">
        <f>Model!BO35</f>
        <v>148.18216438356166</v>
      </c>
      <c r="BP14" s="1097">
        <f>Model!BP35</f>
        <v>140.75999999999999</v>
      </c>
      <c r="BQ14" s="1097">
        <f>Model!BQ35</f>
        <v>133.31999999999999</v>
      </c>
      <c r="BR14" s="1097">
        <f>Model!BR35</f>
        <v>125.88</v>
      </c>
      <c r="BS14" s="177"/>
    </row>
    <row r="15" spans="1:71" s="427" customFormat="1" ht="15">
      <c r="A15" s="268" t="str">
        <f>Model!A36</f>
        <v>Intersegment eliminations, mm</v>
      </c>
      <c r="B15" s="269"/>
      <c r="C15" s="1098">
        <f>Model!C36</f>
        <v>0</v>
      </c>
      <c r="D15" s="1098">
        <f>Model!D36</f>
        <v>0</v>
      </c>
      <c r="E15" s="1098">
        <f>Model!E36</f>
        <v>0</v>
      </c>
      <c r="F15" s="1098">
        <f>Model!F36</f>
        <v>0</v>
      </c>
      <c r="G15" s="1098">
        <f>Model!G36</f>
        <v>0</v>
      </c>
      <c r="H15" s="179">
        <f>Model!H36</f>
        <v>0</v>
      </c>
      <c r="I15" s="179">
        <f>Model!I36</f>
        <v>0</v>
      </c>
      <c r="J15" s="179">
        <f>Model!J36</f>
        <v>0</v>
      </c>
      <c r="K15" s="179">
        <f>Model!K36</f>
        <v>0</v>
      </c>
      <c r="L15" s="1098">
        <f>Model!L36</f>
        <v>0</v>
      </c>
      <c r="M15" s="179">
        <f>Model!M36</f>
        <v>0</v>
      </c>
      <c r="N15" s="179">
        <f>Model!N36</f>
        <v>0</v>
      </c>
      <c r="O15" s="179">
        <f>Model!O36</f>
        <v>0</v>
      </c>
      <c r="P15" s="179">
        <f>Model!P36</f>
        <v>0</v>
      </c>
      <c r="Q15" s="1098">
        <f>Model!Q36</f>
        <v>0</v>
      </c>
      <c r="R15" s="179">
        <f>Model!R36</f>
        <v>0</v>
      </c>
      <c r="S15" s="179">
        <f>Model!S36</f>
        <v>0</v>
      </c>
      <c r="T15" s="179">
        <f>Model!T36</f>
        <v>0</v>
      </c>
      <c r="U15" s="179">
        <f>Model!U36</f>
        <v>0</v>
      </c>
      <c r="V15" s="1098">
        <f>Model!V36</f>
        <v>0</v>
      </c>
      <c r="W15" s="179">
        <f>Model!W36</f>
        <v>-28</v>
      </c>
      <c r="X15" s="179">
        <f>Model!X36</f>
        <v>-28</v>
      </c>
      <c r="Y15" s="179">
        <f>Model!Y36</f>
        <v>-26</v>
      </c>
      <c r="Z15" s="179">
        <f>Model!Z36</f>
        <v>-28</v>
      </c>
      <c r="AA15" s="1098">
        <f>Model!AA36</f>
        <v>-110</v>
      </c>
      <c r="AB15" s="179">
        <f>Model!AB36</f>
        <v>-29</v>
      </c>
      <c r="AC15" s="179">
        <f>Model!AC36</f>
        <v>-29</v>
      </c>
      <c r="AD15" s="179">
        <f>Model!AD36</f>
        <v>-31</v>
      </c>
      <c r="AE15" s="179">
        <f>Model!AE36</f>
        <v>-33</v>
      </c>
      <c r="AF15" s="1098">
        <f>Model!AF36</f>
        <v>-122</v>
      </c>
      <c r="AG15" s="179">
        <f>Model!AG36</f>
        <v>-33</v>
      </c>
      <c r="AH15" s="179">
        <f>Model!AH36</f>
        <v>-33</v>
      </c>
      <c r="AI15" s="179">
        <f>Model!AI36</f>
        <v>-44</v>
      </c>
      <c r="AJ15" s="179">
        <f>Model!AJ36</f>
        <v>-44</v>
      </c>
      <c r="AK15" s="1098">
        <f>Model!AK36</f>
        <v>-154</v>
      </c>
      <c r="AL15" s="179">
        <f>Model!AL36</f>
        <v>-38</v>
      </c>
      <c r="AM15" s="179">
        <f>Model!AM36</f>
        <v>-35</v>
      </c>
      <c r="AN15" s="179">
        <f>Model!AN36</f>
        <v>-36</v>
      </c>
      <c r="AO15" s="179">
        <f>Model!AO36</f>
        <v>-38</v>
      </c>
      <c r="AP15" s="1098">
        <f>Model!AP36</f>
        <v>-147</v>
      </c>
      <c r="AQ15" s="179">
        <f>Model!AQ36</f>
        <v>-41</v>
      </c>
      <c r="AR15" s="179">
        <f>Model!AR36</f>
        <v>-46</v>
      </c>
      <c r="AS15" s="179">
        <f>Model!AS36</f>
        <v>-46</v>
      </c>
      <c r="AT15" s="179">
        <f>Model!AT36</f>
        <v>-42</v>
      </c>
      <c r="AU15" s="1098">
        <f>Model!AU36</f>
        <v>-175</v>
      </c>
      <c r="AV15" s="179">
        <f>Model!AV36</f>
        <v>-41</v>
      </c>
      <c r="AW15" s="179">
        <f>Model!AW36</f>
        <v>-38</v>
      </c>
      <c r="AX15" s="179">
        <f>Model!AX36</f>
        <v>-39</v>
      </c>
      <c r="AY15" s="179">
        <f>Model!AY36</f>
        <v>-31</v>
      </c>
      <c r="AZ15" s="1098">
        <f>Model!AZ36</f>
        <v>-149</v>
      </c>
      <c r="BA15" s="179">
        <f>Model!BA36</f>
        <v>-33</v>
      </c>
      <c r="BB15" s="179">
        <f>Model!BB36</f>
        <v>-35</v>
      </c>
      <c r="BC15" s="179">
        <f>Model!BC36</f>
        <v>-34</v>
      </c>
      <c r="BD15" s="179">
        <f>Model!BD36</f>
        <v>-36</v>
      </c>
      <c r="BE15" s="1098">
        <f>Model!BE36</f>
        <v>-138</v>
      </c>
      <c r="BF15" s="179">
        <f>Model!BF36</f>
        <v>-35</v>
      </c>
      <c r="BG15" s="179">
        <f>Model!BG36</f>
        <v>-39</v>
      </c>
      <c r="BH15" s="780">
        <f>Model!BH36</f>
        <v>-49</v>
      </c>
      <c r="BI15" s="179">
        <f>Model!BI36</f>
        <v>-41</v>
      </c>
      <c r="BJ15" s="1098">
        <f>Model!BJ36</f>
        <v>-164</v>
      </c>
      <c r="BK15" s="179">
        <f>Model!BK36</f>
        <v>-41</v>
      </c>
      <c r="BL15" s="179">
        <f>Model!BL36</f>
        <v>-41</v>
      </c>
      <c r="BM15" s="179">
        <f>Model!BM36</f>
        <v>-41</v>
      </c>
      <c r="BN15" s="179">
        <f>Model!BN36</f>
        <v>-41</v>
      </c>
      <c r="BO15" s="1098">
        <f>Model!BO36</f>
        <v>-164</v>
      </c>
      <c r="BP15" s="1098">
        <f>Model!BP36</f>
        <v>-164</v>
      </c>
      <c r="BQ15" s="1098">
        <f>Model!BQ36</f>
        <v>-164</v>
      </c>
      <c r="BR15" s="1098">
        <f>Model!BR36</f>
        <v>-164</v>
      </c>
      <c r="BS15" s="177"/>
    </row>
    <row r="16" spans="1:71" s="70" customFormat="1" ht="15">
      <c r="A16" s="263" t="str">
        <f>Model!A37</f>
        <v>Total Consolidated Revenues, mm</v>
      </c>
      <c r="B16" s="264"/>
      <c r="C16" s="1096">
        <f>Model!C37</f>
        <v>0</v>
      </c>
      <c r="D16" s="1096">
        <f>Model!D37</f>
        <v>0</v>
      </c>
      <c r="E16" s="1096">
        <f>Model!E37</f>
        <v>0</v>
      </c>
      <c r="F16" s="1096">
        <f>Model!F37</f>
        <v>0</v>
      </c>
      <c r="G16" s="1096">
        <f>Model!G37</f>
        <v>0</v>
      </c>
      <c r="H16" s="175">
        <f>Model!H37</f>
        <v>0</v>
      </c>
      <c r="I16" s="175">
        <f>Model!I37</f>
        <v>0</v>
      </c>
      <c r="J16" s="175">
        <f>Model!J37</f>
        <v>0</v>
      </c>
      <c r="K16" s="175">
        <f>Model!K37</f>
        <v>0</v>
      </c>
      <c r="L16" s="1096">
        <f>Model!L37</f>
        <v>0</v>
      </c>
      <c r="M16" s="175">
        <f>Model!M37</f>
        <v>0</v>
      </c>
      <c r="N16" s="175">
        <f>Model!N37</f>
        <v>0</v>
      </c>
      <c r="O16" s="175">
        <f>Model!O37</f>
        <v>0</v>
      </c>
      <c r="P16" s="175">
        <f>Model!P37</f>
        <v>0</v>
      </c>
      <c r="Q16" s="1096">
        <f>Model!Q37</f>
        <v>0</v>
      </c>
      <c r="R16" s="175">
        <f>Model!R37</f>
        <v>0</v>
      </c>
      <c r="S16" s="175">
        <f>Model!S37</f>
        <v>0</v>
      </c>
      <c r="T16" s="175">
        <f>Model!T37</f>
        <v>0</v>
      </c>
      <c r="U16" s="175">
        <f>Model!U37</f>
        <v>0</v>
      </c>
      <c r="V16" s="1096">
        <f>Model!V37</f>
        <v>0</v>
      </c>
      <c r="W16" s="175">
        <f>Model!W37</f>
        <v>9509</v>
      </c>
      <c r="X16" s="175">
        <f>Model!X37</f>
        <v>9728</v>
      </c>
      <c r="Y16" s="175">
        <f>Model!Y37</f>
        <v>9806</v>
      </c>
      <c r="Z16" s="175">
        <f>Model!Z37</f>
        <v>9969</v>
      </c>
      <c r="AA16" s="1096">
        <f>Model!AA37</f>
        <v>39012</v>
      </c>
      <c r="AB16" s="175">
        <f>Model!AB37</f>
        <v>9866</v>
      </c>
      <c r="AC16" s="175">
        <f>Model!AC37</f>
        <v>10125</v>
      </c>
      <c r="AD16" s="175">
        <f>Model!AD37</f>
        <v>10339</v>
      </c>
      <c r="AE16" s="175">
        <f>Model!AE37</f>
        <v>10162</v>
      </c>
      <c r="AF16" s="1096">
        <f>Model!AF37</f>
        <v>40492</v>
      </c>
      <c r="AG16" s="175">
        <f>Model!AG37</f>
        <v>10491</v>
      </c>
      <c r="AH16" s="175">
        <f>Model!AH37</f>
        <v>10880</v>
      </c>
      <c r="AI16" s="175">
        <f>Model!AI37</f>
        <v>10903</v>
      </c>
      <c r="AJ16" s="175">
        <f>Model!AJ37</f>
        <v>10907</v>
      </c>
      <c r="AK16" s="1096">
        <f>Model!AK37</f>
        <v>43181</v>
      </c>
      <c r="AL16" s="175">
        <f>Model!AL37</f>
        <v>10232</v>
      </c>
      <c r="AM16" s="175">
        <f>Model!AM37</f>
        <v>10811</v>
      </c>
      <c r="AN16" s="175">
        <f>Model!AN37</f>
        <v>11226</v>
      </c>
      <c r="AO16" s="175">
        <f>Model!AO37</f>
        <v>11594</v>
      </c>
      <c r="AP16" s="1096">
        <f>Model!AP37</f>
        <v>43742</v>
      </c>
      <c r="AQ16" s="175">
        <f>Model!AQ37</f>
        <v>12451</v>
      </c>
      <c r="AR16" s="175">
        <f>Model!AR37</f>
        <v>12646</v>
      </c>
      <c r="AS16" s="175">
        <f>Model!AS37</f>
        <v>12480</v>
      </c>
      <c r="AT16" s="175">
        <f>Model!AT37</f>
        <v>13011</v>
      </c>
      <c r="AU16" s="1096">
        <f>Model!AU37</f>
        <v>50588</v>
      </c>
      <c r="AV16" s="175">
        <f>Model!AV37</f>
        <v>12336</v>
      </c>
      <c r="AW16" s="175">
        <f>Model!AW37</f>
        <v>12219</v>
      </c>
      <c r="AX16" s="175">
        <f>Model!AX37</f>
        <v>13208</v>
      </c>
      <c r="AY16" s="175">
        <f>Model!AY37</f>
        <v>13648</v>
      </c>
      <c r="AZ16" s="1096">
        <f>Model!AZ37</f>
        <v>51411</v>
      </c>
      <c r="BA16" s="175">
        <f>Model!BA37</f>
        <v>13786</v>
      </c>
      <c r="BB16" s="175">
        <f>Model!BB37</f>
        <v>13979</v>
      </c>
      <c r="BC16" s="175">
        <f>Model!BC37</f>
        <v>14497</v>
      </c>
      <c r="BD16" s="175">
        <f>Model!BD37</f>
        <v>14832</v>
      </c>
      <c r="BE16" s="1096">
        <f>Model!BE37</f>
        <v>57094</v>
      </c>
      <c r="BF16" s="175">
        <f>Model!BF37</f>
        <v>15259</v>
      </c>
      <c r="BG16" s="175">
        <f>Model!BG37</f>
        <v>15713</v>
      </c>
      <c r="BH16" s="778">
        <f>Model!BH37</f>
        <v>16627</v>
      </c>
      <c r="BI16" s="175">
        <f>Model!BI37</f>
        <v>15537.731069726775</v>
      </c>
      <c r="BJ16" s="1096">
        <f>Model!BJ37</f>
        <v>63136.731069726768</v>
      </c>
      <c r="BK16" s="175">
        <f>Model!BK37</f>
        <v>15988.198508356165</v>
      </c>
      <c r="BL16" s="175">
        <f>Model!BL37</f>
        <v>17169.117926890412</v>
      </c>
      <c r="BM16" s="175">
        <f>Model!BM37</f>
        <v>17664.556640164381</v>
      </c>
      <c r="BN16" s="175">
        <f>Model!BN37</f>
        <v>16639.120464461368</v>
      </c>
      <c r="BO16" s="1096">
        <f>Model!BO37</f>
        <v>67460.993539872332</v>
      </c>
      <c r="BP16" s="1096">
        <f>Model!BP37</f>
        <v>67889.720321944013</v>
      </c>
      <c r="BQ16" s="1096">
        <f>Model!BQ37</f>
        <v>69730.125433422305</v>
      </c>
      <c r="BR16" s="1096">
        <f>Model!BR37</f>
        <v>71815.61977003995</v>
      </c>
      <c r="BS16" s="175"/>
    </row>
    <row r="17" spans="1:71" s="70" customFormat="1" ht="15">
      <c r="A17" s="263"/>
      <c r="B17" s="264"/>
      <c r="C17" s="1096"/>
      <c r="D17" s="1096"/>
      <c r="E17" s="1096"/>
      <c r="F17" s="1096"/>
      <c r="G17" s="1096"/>
      <c r="H17" s="175"/>
      <c r="I17" s="175"/>
      <c r="J17" s="175"/>
      <c r="K17" s="175"/>
      <c r="L17" s="1096"/>
      <c r="M17" s="175"/>
      <c r="N17" s="175"/>
      <c r="O17" s="175"/>
      <c r="P17" s="175"/>
      <c r="Q17" s="1096"/>
      <c r="R17" s="175"/>
      <c r="S17" s="175"/>
      <c r="T17" s="175"/>
      <c r="U17" s="175"/>
      <c r="V17" s="1096"/>
      <c r="W17" s="175"/>
      <c r="X17" s="175"/>
      <c r="Y17" s="175"/>
      <c r="Z17" s="175"/>
      <c r="AA17" s="1096"/>
      <c r="AB17" s="175"/>
      <c r="AC17" s="175"/>
      <c r="AD17" s="175"/>
      <c r="AE17" s="175"/>
      <c r="AF17" s="1096"/>
      <c r="AG17" s="175"/>
      <c r="AH17" s="175"/>
      <c r="AI17" s="175"/>
      <c r="AJ17" s="175"/>
      <c r="AK17" s="1096"/>
      <c r="AL17" s="175"/>
      <c r="AM17" s="175"/>
      <c r="AN17" s="175"/>
      <c r="AO17" s="175"/>
      <c r="AP17" s="1096"/>
      <c r="AQ17" s="175"/>
      <c r="AR17" s="175"/>
      <c r="AS17" s="175"/>
      <c r="AT17" s="175"/>
      <c r="AU17" s="1096"/>
      <c r="AV17" s="175"/>
      <c r="AW17" s="175"/>
      <c r="AX17" s="175"/>
      <c r="AY17" s="175"/>
      <c r="AZ17" s="1096"/>
      <c r="BA17" s="175"/>
      <c r="BB17" s="175"/>
      <c r="BC17" s="175"/>
      <c r="BD17" s="175"/>
      <c r="BE17" s="1096"/>
      <c r="BF17" s="175"/>
      <c r="BG17" s="175"/>
      <c r="BH17" s="778"/>
      <c r="BI17" s="175"/>
      <c r="BJ17" s="1096"/>
      <c r="BK17" s="175"/>
      <c r="BL17" s="175"/>
      <c r="BM17" s="175"/>
      <c r="BN17" s="175"/>
      <c r="BO17" s="1096"/>
      <c r="BP17" s="1096"/>
      <c r="BQ17" s="1096"/>
      <c r="BR17" s="1096"/>
      <c r="BS17" s="175"/>
    </row>
    <row r="18" spans="1:71" ht="15">
      <c r="A18" s="167" t="s">
        <v>261</v>
      </c>
      <c r="B18" s="826"/>
      <c r="C18" s="874"/>
      <c r="D18" s="874"/>
      <c r="E18" s="874"/>
      <c r="F18" s="874"/>
      <c r="G18" s="874"/>
      <c r="H18" s="874"/>
      <c r="I18" s="874"/>
      <c r="J18" s="874"/>
      <c r="K18" s="874"/>
      <c r="L18" s="874"/>
      <c r="M18" s="874"/>
      <c r="N18" s="874"/>
      <c r="O18" s="874"/>
      <c r="P18" s="874"/>
      <c r="Q18" s="874"/>
      <c r="R18" s="874"/>
      <c r="S18" s="874"/>
      <c r="T18" s="874"/>
      <c r="U18" s="874"/>
      <c r="V18" s="874"/>
      <c r="W18" s="874"/>
      <c r="X18" s="874"/>
      <c r="Y18" s="874"/>
      <c r="Z18" s="874"/>
      <c r="AA18" s="874"/>
      <c r="AB18" s="874"/>
      <c r="AC18" s="874"/>
      <c r="AD18" s="874"/>
      <c r="AE18" s="874"/>
      <c r="AF18" s="874"/>
      <c r="AG18" s="874"/>
      <c r="AH18" s="874"/>
      <c r="AI18" s="874"/>
      <c r="AJ18" s="874"/>
      <c r="AK18" s="874"/>
      <c r="AL18" s="874"/>
      <c r="AM18" s="874"/>
      <c r="AN18" s="874"/>
      <c r="AO18" s="874"/>
      <c r="AP18" s="874"/>
      <c r="AQ18" s="874"/>
      <c r="AR18" s="874"/>
      <c r="AS18" s="874"/>
      <c r="AT18" s="874"/>
      <c r="AU18" s="874"/>
      <c r="AV18" s="874"/>
      <c r="AW18" s="874"/>
      <c r="AX18" s="874"/>
      <c r="AY18" s="874"/>
      <c r="AZ18" s="874"/>
      <c r="BA18" s="874"/>
      <c r="BB18" s="874"/>
      <c r="BC18" s="874"/>
      <c r="BD18" s="874"/>
      <c r="BE18" s="874"/>
      <c r="BF18" s="874"/>
      <c r="BG18" s="874"/>
      <c r="BH18" s="875"/>
      <c r="BI18" s="874"/>
      <c r="BJ18" s="874"/>
      <c r="BK18" s="874"/>
      <c r="BL18" s="874"/>
      <c r="BM18" s="874"/>
      <c r="BN18" s="874"/>
      <c r="BO18" s="874"/>
      <c r="BP18" s="874"/>
      <c r="BQ18" s="874"/>
      <c r="BR18" s="874"/>
      <c r="BS18" s="827"/>
    </row>
    <row r="19" spans="1:71" s="70" customFormat="1" ht="15">
      <c r="A19" s="263" t="str">
        <f>INDEX(MO_UI_NWP,0,COLUMN())</f>
        <v>Total Property &amp; Liability Net Written Premiums, mm</v>
      </c>
      <c r="B19" s="264"/>
      <c r="C19" s="1096">
        <f t="shared" si="15" ref="C19:AZ19">ROUND(INDEX(MO_UI_NWP,0,COLUMN()),6)</f>
        <v>25971</v>
      </c>
      <c r="D19" s="1096">
        <f t="shared" si="15"/>
        <v>25907</v>
      </c>
      <c r="E19" s="1096">
        <f t="shared" si="15"/>
        <v>25980</v>
      </c>
      <c r="F19" s="1096">
        <f t="shared" si="15"/>
        <v>27027</v>
      </c>
      <c r="G19" s="1096">
        <f t="shared" si="15"/>
        <v>28164</v>
      </c>
      <c r="H19" s="175">
        <f t="shared" si="15"/>
        <v>6969</v>
      </c>
      <c r="I19" s="175">
        <f t="shared" si="15"/>
        <v>7547</v>
      </c>
      <c r="J19" s="175">
        <f t="shared" si="15"/>
        <v>7806</v>
      </c>
      <c r="K19" s="175">
        <f t="shared" si="15"/>
        <v>7292</v>
      </c>
      <c r="L19" s="1096">
        <f t="shared" si="15"/>
        <v>29614</v>
      </c>
      <c r="M19" s="175">
        <f t="shared" si="15"/>
        <v>7306</v>
      </c>
      <c r="N19" s="175">
        <f t="shared" si="15"/>
        <v>7877</v>
      </c>
      <c r="O19" s="175">
        <f t="shared" si="15"/>
        <v>8137</v>
      </c>
      <c r="P19" s="175">
        <f t="shared" si="15"/>
        <v>7551</v>
      </c>
      <c r="Q19" s="1096">
        <f t="shared" si="15"/>
        <v>30871</v>
      </c>
      <c r="R19" s="175">
        <f t="shared" si="15"/>
        <v>7332</v>
      </c>
      <c r="S19" s="175">
        <f t="shared" si="15"/>
        <v>7868</v>
      </c>
      <c r="T19" s="175">
        <f t="shared" si="15"/>
        <v>8126</v>
      </c>
      <c r="U19" s="175">
        <f t="shared" si="15"/>
        <v>7565</v>
      </c>
      <c r="V19" s="1096">
        <f t="shared" si="15"/>
        <v>30891</v>
      </c>
      <c r="W19" s="175">
        <f t="shared" si="15"/>
        <v>7469</v>
      </c>
      <c r="X19" s="175">
        <f t="shared" si="15"/>
        <v>8030</v>
      </c>
      <c r="Y19" s="175">
        <f t="shared" si="15"/>
        <v>8311</v>
      </c>
      <c r="Z19" s="175">
        <f t="shared" si="15"/>
        <v>7838</v>
      </c>
      <c r="AA19" s="1096">
        <f t="shared" si="15"/>
        <v>31648</v>
      </c>
      <c r="AB19" s="175">
        <f t="shared" si="15"/>
        <v>7844</v>
      </c>
      <c r="AC19" s="175">
        <f t="shared" si="15"/>
        <v>8541</v>
      </c>
      <c r="AD19" s="175">
        <f t="shared" si="15"/>
        <v>8800</v>
      </c>
      <c r="AE19" s="175">
        <f t="shared" si="15"/>
        <v>8370</v>
      </c>
      <c r="AF19" s="1096">
        <f t="shared" si="15"/>
        <v>33555</v>
      </c>
      <c r="AG19" s="175">
        <f t="shared" si="15"/>
        <v>8327</v>
      </c>
      <c r="AH19" s="175">
        <f t="shared" si="15"/>
        <v>9043</v>
      </c>
      <c r="AI19" s="175">
        <f t="shared" si="15"/>
        <v>9312</v>
      </c>
      <c r="AJ19" s="175">
        <f t="shared" si="15"/>
        <v>8737</v>
      </c>
      <c r="AK19" s="1096">
        <f t="shared" si="15"/>
        <v>35419</v>
      </c>
      <c r="AL19" s="175">
        <f>ROUND(INDEX(MO_UI_NWP,0,COLUMN()),6)</f>
        <v>8592</v>
      </c>
      <c r="AM19" s="175">
        <f>ROUND(INDEX(MO_UI_NWP,0,COLUMN()),6)</f>
        <v>9172</v>
      </c>
      <c r="AN19" s="175">
        <f>ROUND(INDEX(MO_UI_NWP,0,COLUMN()),6)</f>
        <v>9395</v>
      </c>
      <c r="AO19" s="175">
        <f t="shared" si="15"/>
        <v>8609</v>
      </c>
      <c r="AP19" s="1096">
        <f t="shared" si="15"/>
        <v>35768</v>
      </c>
      <c r="AQ19" s="175">
        <f>ROUND(INDEX(MO_UI_NWP,0,COLUMN()),6)</f>
        <v>9768</v>
      </c>
      <c r="AR19" s="175">
        <f>ROUND(INDEX(MO_UI_NWP,0,COLUMN()),6)</f>
        <v>10323</v>
      </c>
      <c r="AS19" s="175">
        <f>ROUND(INDEX(MO_UI_NWP,0,COLUMN()),6)</f>
        <v>10966</v>
      </c>
      <c r="AT19" s="175">
        <f t="shared" si="15"/>
        <v>10301</v>
      </c>
      <c r="AU19" s="1096">
        <f t="shared" si="15"/>
        <v>41358</v>
      </c>
      <c r="AV19" s="175">
        <f>ROUND(INDEX(MO_UI_NWP,0,COLUMN()),6)</f>
        <v>10761</v>
      </c>
      <c r="AW19" s="175">
        <f>ROUND(INDEX(MO_UI_NWP,0,COLUMN()),6)</f>
        <v>11509</v>
      </c>
      <c r="AX19" s="175">
        <f>ROUND(INDEX(MO_UI_NWP,0,COLUMN()),6)</f>
        <v>12037</v>
      </c>
      <c r="AY19" s="175">
        <f t="shared" si="15"/>
        <v>11480</v>
      </c>
      <c r="AZ19" s="1096">
        <f t="shared" si="15"/>
        <v>45787</v>
      </c>
      <c r="BA19" s="175">
        <f>ROUND(INDEX(MO_UI_NWP,0,COLUMN()),6)</f>
        <v>11783</v>
      </c>
      <c r="BB19" s="175">
        <f>ROUND(INDEX(MO_UI_NWP,0,COLUMN()),6)</f>
        <v>12620</v>
      </c>
      <c r="BC19" s="175">
        <f>ROUND(INDEX(MO_UI_NWP,0,COLUMN()),6)</f>
        <v>13304</v>
      </c>
      <c r="BD19" s="175">
        <f>ROUND(INDEX(MO_UI_NWP,0,COLUMN()),6)</f>
        <v>12640</v>
      </c>
      <c r="BE19" s="1096">
        <f>ROUND(INDEX(MO_UI_NWP,0,COLUMN()),6)</f>
        <v>50347</v>
      </c>
      <c r="BF19" s="175">
        <f t="shared" si="16" ref="BF19:BJ19">ROUND(INDEX(MO_UI_NWP,0,COLUMN()),6)</f>
        <v>13183</v>
      </c>
      <c r="BG19" s="175">
        <f t="shared" si="16"/>
        <v>14279</v>
      </c>
      <c r="BH19" s="778">
        <f>ROUND(INDEX(MO_UI_NWP,0,COLUMN()),6)</f>
        <v>14707</v>
      </c>
      <c r="BI19" s="175">
        <f t="shared" si="16"/>
        <v>12253.93</v>
      </c>
      <c r="BJ19" s="1096">
        <f t="shared" si="16"/>
        <v>54422.93</v>
      </c>
      <c r="BK19" s="175">
        <f t="shared" si="17" ref="BK19:BR19">ROUND(INDEX(MO_UI_NWP,0,COLUMN()),6)</f>
        <v>14293.25</v>
      </c>
      <c r="BL19" s="175">
        <f t="shared" si="17"/>
        <v>15419.40</v>
      </c>
      <c r="BM19" s="175">
        <f t="shared" si="17"/>
        <v>15861.60</v>
      </c>
      <c r="BN19" s="175">
        <f t="shared" si="17"/>
        <v>13280.306500000001</v>
      </c>
      <c r="BO19" s="1096">
        <f t="shared" si="17"/>
        <v>58854.556499999999</v>
      </c>
      <c r="BP19" s="1096">
        <f t="shared" si="17"/>
        <v>60605.193195</v>
      </c>
      <c r="BQ19" s="1096">
        <f t="shared" si="17"/>
        <v>62408.348990999999</v>
      </c>
      <c r="BR19" s="1096">
        <f t="shared" si="17"/>
        <v>64265.599460999998</v>
      </c>
      <c r="BS19" s="175"/>
    </row>
    <row r="20" spans="1:71" s="70" customFormat="1" ht="15">
      <c r="A20" s="263" t="str">
        <f>INDEX(MO_UI_NEP,0,COLUMN())</f>
        <v>Total Property &amp; Liability Net Earned Premiums, mm</v>
      </c>
      <c r="B20" s="264"/>
      <c r="C20" s="1096">
        <f t="shared" si="18" ref="C20:AZ20">ROUND(INDEX(MO_UI_NEP,0,COLUMN()),6)</f>
        <v>26194</v>
      </c>
      <c r="D20" s="1096">
        <f t="shared" si="18"/>
        <v>25957</v>
      </c>
      <c r="E20" s="1096">
        <f t="shared" si="18"/>
        <v>25942</v>
      </c>
      <c r="F20" s="1096">
        <f t="shared" si="18"/>
        <v>26737</v>
      </c>
      <c r="G20" s="1096">
        <f t="shared" si="18"/>
        <v>27618</v>
      </c>
      <c r="H20" s="175">
        <f t="shared" si="18"/>
        <v>7064</v>
      </c>
      <c r="I20" s="175">
        <f t="shared" si="18"/>
        <v>7204</v>
      </c>
      <c r="J20" s="175">
        <f t="shared" si="18"/>
        <v>7307</v>
      </c>
      <c r="K20" s="175">
        <f t="shared" si="18"/>
        <v>7214</v>
      </c>
      <c r="L20" s="1096">
        <f t="shared" si="18"/>
        <v>28929</v>
      </c>
      <c r="M20" s="175">
        <f t="shared" si="18"/>
        <v>7426</v>
      </c>
      <c r="N20" s="175">
        <f t="shared" si="18"/>
        <v>7549</v>
      </c>
      <c r="O20" s="175">
        <f t="shared" si="18"/>
        <v>7650</v>
      </c>
      <c r="P20" s="175">
        <f t="shared" si="18"/>
        <v>7549</v>
      </c>
      <c r="Q20" s="1096">
        <f t="shared" si="18"/>
        <v>30309</v>
      </c>
      <c r="R20" s="175">
        <f t="shared" si="18"/>
        <v>7580</v>
      </c>
      <c r="S20" s="175">
        <f t="shared" si="18"/>
        <v>7672</v>
      </c>
      <c r="T20" s="175">
        <f t="shared" si="18"/>
        <v>7719</v>
      </c>
      <c r="U20" s="175">
        <f t="shared" si="18"/>
        <v>7756</v>
      </c>
      <c r="V20" s="1096">
        <f t="shared" si="18"/>
        <v>30727</v>
      </c>
      <c r="W20" s="175">
        <f t="shared" si="18"/>
        <v>7759</v>
      </c>
      <c r="X20" s="175">
        <f t="shared" si="18"/>
        <v>7807</v>
      </c>
      <c r="Y20" s="175">
        <f t="shared" si="18"/>
        <v>7896</v>
      </c>
      <c r="Z20" s="175">
        <f t="shared" si="18"/>
        <v>7971</v>
      </c>
      <c r="AA20" s="1096">
        <f t="shared" si="18"/>
        <v>31433</v>
      </c>
      <c r="AB20" s="175">
        <f t="shared" si="18"/>
        <v>8019</v>
      </c>
      <c r="AC20" s="175">
        <f t="shared" si="18"/>
        <v>8189</v>
      </c>
      <c r="AD20" s="175">
        <f t="shared" si="18"/>
        <v>8320</v>
      </c>
      <c r="AE20" s="175">
        <f t="shared" si="18"/>
        <v>8422</v>
      </c>
      <c r="AF20" s="1096">
        <f t="shared" si="18"/>
        <v>32950</v>
      </c>
      <c r="AG20" s="175">
        <f t="shared" si="18"/>
        <v>8507</v>
      </c>
      <c r="AH20" s="175">
        <f t="shared" si="18"/>
        <v>8681</v>
      </c>
      <c r="AI20" s="175">
        <f t="shared" si="18"/>
        <v>8782</v>
      </c>
      <c r="AJ20" s="175">
        <f t="shared" si="18"/>
        <v>8873</v>
      </c>
      <c r="AK20" s="1096">
        <f t="shared" si="18"/>
        <v>34843</v>
      </c>
      <c r="AL20" s="175">
        <f>ROUND(INDEX(MO_UI_NEP,0,COLUMN()),6)</f>
        <v>8881</v>
      </c>
      <c r="AM20" s="175">
        <f>ROUND(INDEX(MO_UI_NEP,0,COLUMN()),6)</f>
        <v>8863</v>
      </c>
      <c r="AN20" s="175">
        <f>ROUND(INDEX(MO_UI_NEP,0,COLUMN()),6)</f>
        <v>8952</v>
      </c>
      <c r="AO20" s="175">
        <f t="shared" si="18"/>
        <v>8884</v>
      </c>
      <c r="AP20" s="1096">
        <f t="shared" si="18"/>
        <v>35580</v>
      </c>
      <c r="AQ20" s="175">
        <f>ROUND(INDEX(MO_UI_NEP,0,COLUMN()),6)</f>
        <v>9896</v>
      </c>
      <c r="AR20" s="175">
        <f>ROUND(INDEX(MO_UI_NEP,0,COLUMN()),6)</f>
        <v>10009</v>
      </c>
      <c r="AS20" s="175">
        <f>ROUND(INDEX(MO_UI_NEP,0,COLUMN()),6)</f>
        <v>10159</v>
      </c>
      <c r="AT20" s="175">
        <f t="shared" si="18"/>
        <v>10390</v>
      </c>
      <c r="AU20" s="1096">
        <f t="shared" si="18"/>
        <v>40454</v>
      </c>
      <c r="AV20" s="175">
        <f>ROUND(INDEX(MO_UI_NEP,0,COLUMN()),6)</f>
        <v>10498</v>
      </c>
      <c r="AW20" s="175">
        <f>ROUND(INDEX(MO_UI_NEP,0,COLUMN()),6)</f>
        <v>10874</v>
      </c>
      <c r="AX20" s="175">
        <f>ROUND(INDEX(MO_UI_NEP,0,COLUMN()),6)</f>
        <v>11157</v>
      </c>
      <c r="AY20" s="175">
        <f t="shared" si="18"/>
        <v>11380</v>
      </c>
      <c r="AZ20" s="1096">
        <f t="shared" si="18"/>
        <v>43909</v>
      </c>
      <c r="BA20" s="175">
        <f>ROUND(INDEX(MO_UI_NEP,0,COLUMN()),6)</f>
        <v>11635</v>
      </c>
      <c r="BB20" s="175">
        <f>ROUND(INDEX(MO_UI_NEP,0,COLUMN()),6)</f>
        <v>11921</v>
      </c>
      <c r="BC20" s="175">
        <f>ROUND(INDEX(MO_UI_NEP,0,COLUMN()),6)</f>
        <v>12270</v>
      </c>
      <c r="BD20" s="175">
        <f>ROUND(INDEX(MO_UI_NEP,0,COLUMN()),6)</f>
        <v>12601</v>
      </c>
      <c r="BE20" s="1096">
        <f>ROUND(INDEX(MO_UI_NEP,0,COLUMN()),6)</f>
        <v>48427</v>
      </c>
      <c r="BF20" s="175">
        <f t="shared" si="19" ref="BF20:BJ20">ROUND(INDEX(MO_UI_NEP,0,COLUMN()),6)</f>
        <v>12900</v>
      </c>
      <c r="BG20" s="175">
        <f t="shared" si="19"/>
        <v>13339</v>
      </c>
      <c r="BH20" s="778">
        <f>ROUND(INDEX(MO_UI_NEP,0,COLUMN()),6)</f>
        <v>13694</v>
      </c>
      <c r="BI20" s="175">
        <f t="shared" si="19"/>
        <v>13486.063</v>
      </c>
      <c r="BJ20" s="1096">
        <f t="shared" si="19"/>
        <v>53419.063000000002</v>
      </c>
      <c r="BK20" s="175">
        <f t="shared" si="20" ref="BK20:BR20">ROUND(INDEX(MO_UI_NEP,0,COLUMN()),6)</f>
        <v>14110.312</v>
      </c>
      <c r="BL20" s="175">
        <f t="shared" si="20"/>
        <v>15213.136</v>
      </c>
      <c r="BM20" s="175">
        <f t="shared" si="20"/>
        <v>15649.297</v>
      </c>
      <c r="BN20" s="175">
        <f t="shared" si="20"/>
        <v>14591.72883</v>
      </c>
      <c r="BO20" s="1096">
        <f t="shared" si="20"/>
        <v>59564.473830000003</v>
      </c>
      <c r="BP20" s="1096">
        <f t="shared" si="20"/>
        <v>59988.025055999999</v>
      </c>
      <c r="BQ20" s="1096">
        <f t="shared" si="20"/>
        <v>61587.050615</v>
      </c>
      <c r="BR20" s="1096">
        <f t="shared" si="20"/>
        <v>63419.962134000001</v>
      </c>
      <c r="BS20" s="175"/>
    </row>
    <row r="21" spans="1:71" s="67" customFormat="1" ht="15">
      <c r="A21" s="258"/>
      <c r="B21" s="265"/>
      <c r="C21" s="1099"/>
      <c r="D21" s="1099"/>
      <c r="E21" s="1099"/>
      <c r="F21" s="1099"/>
      <c r="G21" s="1099"/>
      <c r="H21" s="877"/>
      <c r="I21" s="877"/>
      <c r="J21" s="877"/>
      <c r="K21" s="877"/>
      <c r="L21" s="1099"/>
      <c r="M21" s="877"/>
      <c r="N21" s="877"/>
      <c r="O21" s="877"/>
      <c r="P21" s="877"/>
      <c r="Q21" s="1099"/>
      <c r="R21" s="877"/>
      <c r="S21" s="877"/>
      <c r="T21" s="877"/>
      <c r="U21" s="877"/>
      <c r="V21" s="1099"/>
      <c r="W21" s="877"/>
      <c r="X21" s="877"/>
      <c r="Y21" s="877"/>
      <c r="Z21" s="877"/>
      <c r="AA21" s="1099"/>
      <c r="AB21" s="877"/>
      <c r="AC21" s="877"/>
      <c r="AD21" s="877"/>
      <c r="AE21" s="877"/>
      <c r="AF21" s="1099"/>
      <c r="AG21" s="877"/>
      <c r="AH21" s="877"/>
      <c r="AI21" s="877"/>
      <c r="AJ21" s="877"/>
      <c r="AK21" s="1099"/>
      <c r="AL21" s="877"/>
      <c r="AM21" s="877"/>
      <c r="AN21" s="877"/>
      <c r="AO21" s="877"/>
      <c r="AP21" s="1099"/>
      <c r="AQ21" s="877"/>
      <c r="AR21" s="877"/>
      <c r="AS21" s="877"/>
      <c r="AT21" s="877"/>
      <c r="AU21" s="1099"/>
      <c r="AV21" s="877"/>
      <c r="AW21" s="877"/>
      <c r="AX21" s="877"/>
      <c r="AY21" s="877"/>
      <c r="AZ21" s="1099"/>
      <c r="BA21" s="877"/>
      <c r="BB21" s="877"/>
      <c r="BC21" s="877"/>
      <c r="BD21" s="877"/>
      <c r="BE21" s="1099"/>
      <c r="BF21" s="877"/>
      <c r="BG21" s="877"/>
      <c r="BH21" s="878"/>
      <c r="BI21" s="877"/>
      <c r="BJ21" s="1099"/>
      <c r="BK21" s="877"/>
      <c r="BL21" s="877"/>
      <c r="BM21" s="877"/>
      <c r="BN21" s="877"/>
      <c r="BO21" s="1099"/>
      <c r="BP21" s="1099"/>
      <c r="BQ21" s="1099"/>
      <c r="BR21" s="1099"/>
      <c r="BS21" s="827"/>
    </row>
    <row r="22" spans="1:71" s="427" customFormat="1" ht="15">
      <c r="A22" s="266" t="str">
        <f>INDEX(MO_UI_Loss,0,COLUMN())</f>
        <v>Total Property &amp; Liability Loss and LAE, mm</v>
      </c>
      <c r="B22" s="267"/>
      <c r="C22" s="1097">
        <f t="shared" si="21" ref="C22:AZ22">INDEX(MO_UI_Loss,0,COLUMN())</f>
        <v>18753.424999999999</v>
      </c>
      <c r="D22" s="1097">
        <f t="shared" si="21"/>
        <v>18949.195</v>
      </c>
      <c r="E22" s="1097">
        <f t="shared" si="21"/>
        <v>20151.992000000002</v>
      </c>
      <c r="F22" s="1097">
        <f t="shared" si="21"/>
        <v>18472.792999999998</v>
      </c>
      <c r="G22" s="1097">
        <f t="shared" si="21"/>
        <v>17927.992000000002</v>
      </c>
      <c r="H22" s="177">
        <f t="shared" si="21"/>
        <v>4764.1360000000004</v>
      </c>
      <c r="I22" s="177">
        <f t="shared" si="21"/>
        <v>5138.4519999999993</v>
      </c>
      <c r="J22" s="177">
        <f t="shared" si="21"/>
        <v>4912.348</v>
      </c>
      <c r="K22" s="177">
        <f t="shared" si="21"/>
        <v>4621.9680000000026</v>
      </c>
      <c r="L22" s="1097">
        <f t="shared" si="21"/>
        <v>19436.904000000002</v>
      </c>
      <c r="M22" s="177">
        <f t="shared" si="21"/>
        <v>4991.2719999999999</v>
      </c>
      <c r="N22" s="177">
        <f t="shared" si="21"/>
        <v>5588.26</v>
      </c>
      <c r="O22" s="177">
        <f t="shared" si="21"/>
        <v>5250</v>
      </c>
      <c r="P22" s="177">
        <f t="shared" si="21"/>
        <v>5045.751000000002</v>
      </c>
      <c r="Q22" s="1097">
        <f t="shared" si="21"/>
        <v>20875.283000000003</v>
      </c>
      <c r="R22" s="177">
        <f t="shared" si="21"/>
        <v>5579.88</v>
      </c>
      <c r="S22" s="177">
        <f t="shared" si="21"/>
        <v>5794.36</v>
      </c>
      <c r="T22" s="177">
        <f t="shared" si="21"/>
        <v>5448.2669999999998</v>
      </c>
      <c r="U22" s="177">
        <f t="shared" si="21"/>
        <v>5160.1169999999984</v>
      </c>
      <c r="V22" s="1097">
        <f t="shared" si="21"/>
        <v>21982.624</v>
      </c>
      <c r="W22" s="177">
        <f t="shared" si="21"/>
        <v>5324.674</v>
      </c>
      <c r="X22" s="177">
        <f t="shared" si="21"/>
        <v>5608.4259999999995</v>
      </c>
      <c r="Y22" s="177">
        <f t="shared" si="21"/>
        <v>5441.4880000000003</v>
      </c>
      <c r="Z22" s="177">
        <f t="shared" si="21"/>
        <v>5190.1510000000026</v>
      </c>
      <c r="AA22" s="1097">
        <f t="shared" si="21"/>
        <v>21564.739000000001</v>
      </c>
      <c r="AB22" s="177">
        <f t="shared" si="21"/>
        <v>5038.9319999999998</v>
      </c>
      <c r="AC22" s="177">
        <f t="shared" si="21"/>
        <v>5685.1659999999993</v>
      </c>
      <c r="AD22" s="177">
        <f t="shared" si="21"/>
        <v>5712.64</v>
      </c>
      <c r="AE22" s="177">
        <f t="shared" si="21"/>
        <v>5990.3620000000019</v>
      </c>
      <c r="AF22" s="1097">
        <f t="shared" si="21"/>
        <v>22427.100000000002</v>
      </c>
      <c r="AG22" s="177">
        <f t="shared" si="21"/>
        <v>5727.2110000000002</v>
      </c>
      <c r="AH22" s="177">
        <f t="shared" si="21"/>
        <v>6270.6819999999998</v>
      </c>
      <c r="AI22" s="177">
        <f t="shared" si="21"/>
        <v>5964.3760000000002</v>
      </c>
      <c r="AJ22" s="177">
        <f t="shared" si="21"/>
        <v>5661.7560000000012</v>
      </c>
      <c r="AK22" s="1097">
        <f t="shared" si="21"/>
        <v>23624.025000000001</v>
      </c>
      <c r="AL22" s="177">
        <f>INDEX(MO_UI_Loss,0,COLUMN())</f>
        <v>5250.6709999999994</v>
      </c>
      <c r="AM22" s="177">
        <f>INDEX(MO_UI_Loss,0,COLUMN())</f>
        <v>5142.54</v>
      </c>
      <c r="AN22" s="177">
        <f>INDEX(MO_UI_Loss,0,COLUMN())</f>
        <v>5971.7040000000006</v>
      </c>
      <c r="AO22" s="177">
        <f t="shared" si="21"/>
        <v>5270.2120000000004</v>
      </c>
      <c r="AP22" s="1097">
        <f t="shared" si="21"/>
        <v>21635.127</v>
      </c>
      <c r="AQ22" s="177">
        <f>INDEX(MO_UI_Loss,0,COLUMN())</f>
        <v>5938.60</v>
      </c>
      <c r="AR22" s="177">
        <f>INDEX(MO_UI_Loss,0,COLUMN())</f>
        <v>7107.3899999999994</v>
      </c>
      <c r="AS22" s="177">
        <f>INDEX(MO_UI_Loss,0,COLUMN())</f>
        <v>8138.6100000000006</v>
      </c>
      <c r="AT22" s="177">
        <f t="shared" si="21"/>
        <v>7694.1939999999995</v>
      </c>
      <c r="AU22" s="1097">
        <f t="shared" si="21"/>
        <v>28878.793999999998</v>
      </c>
      <c r="AV22" s="177">
        <f>INDEX(MO_UI_Loss,0,COLUMN())</f>
        <v>7696.0339999999997</v>
      </c>
      <c r="AW22" s="177">
        <f>INDEX(MO_UI_Loss,0,COLUMN())</f>
        <v>9235.0259999999998</v>
      </c>
      <c r="AX22" s="177">
        <f>INDEX(MO_UI_Loss,0,COLUMN())</f>
        <v>9938.16</v>
      </c>
      <c r="AY22" s="177">
        <f t="shared" si="21"/>
        <v>9831.9770000000026</v>
      </c>
      <c r="AZ22" s="1097">
        <f t="shared" si="21"/>
        <v>36701.197</v>
      </c>
      <c r="BA22" s="177">
        <f>INDEX(MO_UI_Loss,0,COLUMN())</f>
        <v>10182.625</v>
      </c>
      <c r="BB22" s="177">
        <f>INDEX(MO_UI_Loss,0,COLUMN())</f>
        <v>11564.369999999999</v>
      </c>
      <c r="BC22" s="177">
        <f>INDEX(MO_UI_Loss,0,COLUMN())</f>
        <v>10082.049999999999</v>
      </c>
      <c r="BD22" s="177">
        <f>INDEX(MO_UI_Loss,0,COLUMN())</f>
        <v>8599.6460000000006</v>
      </c>
      <c r="BE22" s="1097">
        <f>INDEX(MO_UI_Loss,0,COLUMN())</f>
        <v>40428.690999999999</v>
      </c>
      <c r="BF22" s="177">
        <f t="shared" si="22" ref="BF22:BJ22">INDEX(MO_UI_Loss,0,COLUMN())</f>
        <v>9343.60</v>
      </c>
      <c r="BG22" s="177">
        <f t="shared" si="22"/>
        <v>10646.522000000001</v>
      </c>
      <c r="BH22" s="779">
        <f>INDEX(MO_UI_Loss,0,COLUMN())</f>
        <v>10247.335999999999</v>
      </c>
      <c r="BI22" s="177">
        <f t="shared" si="22"/>
        <v>9289.8632949999992</v>
      </c>
      <c r="BJ22" s="1097">
        <f t="shared" si="22"/>
        <v>39530.603294999994</v>
      </c>
      <c r="BK22" s="177">
        <f t="shared" si="23" ref="BK22:BR22">INDEX(MO_UI_Loss,0,COLUMN())</f>
        <v>9711.4254519999995</v>
      </c>
      <c r="BL22" s="177">
        <f t="shared" si="23"/>
        <v>11333.776039000002</v>
      </c>
      <c r="BM22" s="177">
        <f t="shared" si="23"/>
        <v>11238.498964</v>
      </c>
      <c r="BN22" s="177">
        <f t="shared" si="23"/>
        <v>9835.6830631499997</v>
      </c>
      <c r="BO22" s="1097">
        <f t="shared" si="23"/>
        <v>42119.383518149996</v>
      </c>
      <c r="BP22" s="1097">
        <f t="shared" si="23"/>
        <v>41559.9525861535</v>
      </c>
      <c r="BQ22" s="1097">
        <f t="shared" si="23"/>
        <v>42678.212540699758</v>
      </c>
      <c r="BR22" s="1097">
        <f t="shared" si="23"/>
        <v>43952.237916920749</v>
      </c>
      <c r="BS22" s="177"/>
    </row>
    <row r="23" spans="1:71" s="427" customFormat="1" ht="15">
      <c r="A23" s="268" t="str">
        <f>INDEX(MO_UI_OOE,0,COLUMN())</f>
        <v>Total Property &amp; Liability Other Operating Expense, mm</v>
      </c>
      <c r="B23" s="269"/>
      <c r="C23" s="1098">
        <f t="shared" si="24" ref="C23:AZ23">INDEX(MO_UI_OOE,0,COLUMN())</f>
        <v>6450.9700000000003</v>
      </c>
      <c r="D23" s="1098">
        <f t="shared" si="24"/>
        <v>6519.7049999999999</v>
      </c>
      <c r="E23" s="1098">
        <f t="shared" si="24"/>
        <v>6671.0940000000001</v>
      </c>
      <c r="F23" s="1098">
        <f t="shared" si="24"/>
        <v>7060.5680000000002</v>
      </c>
      <c r="G23" s="1098">
        <f t="shared" si="24"/>
        <v>7485.4780000000001</v>
      </c>
      <c r="H23" s="179">
        <f t="shared" si="24"/>
        <v>1928.4720000000002</v>
      </c>
      <c r="I23" s="179">
        <f t="shared" si="24"/>
        <v>1874.04</v>
      </c>
      <c r="J23" s="179">
        <f t="shared" si="24"/>
        <v>1922.4780000000001</v>
      </c>
      <c r="K23" s="179">
        <f t="shared" si="24"/>
        <v>2001.7860000000001</v>
      </c>
      <c r="L23" s="1098">
        <f t="shared" si="24"/>
        <v>7726.7760000000007</v>
      </c>
      <c r="M23" s="179">
        <f t="shared" si="24"/>
        <v>1968.89</v>
      </c>
      <c r="N23" s="179">
        <f t="shared" si="24"/>
        <v>1970.289</v>
      </c>
      <c r="O23" s="179">
        <f t="shared" si="24"/>
        <v>1905.85</v>
      </c>
      <c r="P23" s="179">
        <f t="shared" si="24"/>
        <v>1703.9119999999998</v>
      </c>
      <c r="Q23" s="1098">
        <f t="shared" si="24"/>
        <v>7548.9409999999998</v>
      </c>
      <c r="R23" s="179">
        <f t="shared" si="24"/>
        <v>1880.84</v>
      </c>
      <c r="S23" s="179">
        <f t="shared" si="24"/>
        <v>1941.0160000000001</v>
      </c>
      <c r="T23" s="179">
        <f t="shared" si="24"/>
        <v>1923.0309999999999</v>
      </c>
      <c r="U23" s="179">
        <f t="shared" si="24"/>
        <v>1785.2279999999996</v>
      </c>
      <c r="V23" s="1098">
        <f t="shared" si="24"/>
        <v>7530.1149999999998</v>
      </c>
      <c r="W23" s="179">
        <f t="shared" si="24"/>
        <v>1885.4369999999999</v>
      </c>
      <c r="X23" s="179">
        <f t="shared" si="24"/>
        <v>1930.329</v>
      </c>
      <c r="Y23" s="179">
        <f t="shared" si="24"/>
        <v>1974</v>
      </c>
      <c r="Z23" s="179">
        <f t="shared" si="24"/>
        <v>2071.4840000000004</v>
      </c>
      <c r="AA23" s="1098">
        <f t="shared" si="24"/>
        <v>7861.25</v>
      </c>
      <c r="AB23" s="179">
        <f t="shared" si="24"/>
        <v>1972.674</v>
      </c>
      <c r="AC23" s="179">
        <f t="shared" si="24"/>
        <v>2048.25</v>
      </c>
      <c r="AD23" s="179">
        <f t="shared" si="24"/>
        <v>2096.64</v>
      </c>
      <c r="AE23" s="179">
        <f t="shared" si="24"/>
        <v>2155.8860000000009</v>
      </c>
      <c r="AF23" s="1098">
        <f t="shared" si="24"/>
        <v>8273.4500000000007</v>
      </c>
      <c r="AG23" s="179">
        <f t="shared" si="24"/>
        <v>2076.7080000000001</v>
      </c>
      <c r="AH23" s="179">
        <f t="shared" si="24"/>
        <v>2040.035</v>
      </c>
      <c r="AI23" s="179">
        <f t="shared" si="24"/>
        <v>2082.3339999999998</v>
      </c>
      <c r="AJ23" s="179">
        <f t="shared" si="24"/>
        <v>2201.0860000000002</v>
      </c>
      <c r="AK23" s="1098">
        <f t="shared" si="24"/>
        <v>8400.1630000000005</v>
      </c>
      <c r="AL23" s="179">
        <f>INDEX(MO_UI_OOE,0,COLUMN())</f>
        <v>2283.4169999999999</v>
      </c>
      <c r="AM23" s="179">
        <f>INDEX(MO_UI_OOE,0,COLUMN())</f>
        <v>2819.4340000000002</v>
      </c>
      <c r="AN23" s="179">
        <f>INDEX(MO_UI_OOE,0,COLUMN())</f>
        <v>2229.0479999999998</v>
      </c>
      <c r="AO23" s="179">
        <f t="shared" si="24"/>
        <v>2206.5410000000011</v>
      </c>
      <c r="AP23" s="1098">
        <f t="shared" si="24"/>
        <v>9538.44</v>
      </c>
      <c r="AQ23" s="179">
        <f>INDEX(MO_UI_OOE,0,COLUMN())</f>
        <v>2297.8720000000003</v>
      </c>
      <c r="AR23" s="179">
        <f>INDEX(MO_UI_OOE,0,COLUMN())</f>
        <v>2473.223</v>
      </c>
      <c r="AS23" s="179">
        <f>INDEX(MO_UI_OOE,0,COLUMN())</f>
        <v>2549.9090000000001</v>
      </c>
      <c r="AT23" s="179">
        <f t="shared" si="24"/>
        <v>2594.2259999999992</v>
      </c>
      <c r="AU23" s="1098">
        <f t="shared" si="24"/>
        <v>9915.2299999999996</v>
      </c>
      <c r="AV23" s="179">
        <f>INDEX(MO_UI_OOE,0,COLUMN())</f>
        <v>2520.52</v>
      </c>
      <c r="AW23" s="179">
        <f>INDEX(MO_UI_OOE,0,COLUMN())</f>
        <v>2501.02</v>
      </c>
      <c r="AX23" s="179">
        <f>INDEX(MO_UI_OOE,0,COLUMN())</f>
        <v>2512.3250000000003</v>
      </c>
      <c r="AY23" s="179">
        <f t="shared" si="24"/>
        <v>2569.2049999999986</v>
      </c>
      <c r="AZ23" s="1098">
        <f t="shared" si="24"/>
        <v>10103.07</v>
      </c>
      <c r="BA23" s="179">
        <f>INDEX(MO_UI_OOE,0,COLUMN())</f>
        <v>2455.985</v>
      </c>
      <c r="BB23" s="179">
        <f>INDEX(MO_UI_OOE,0,COLUMN())</f>
        <v>2444.8049999999998</v>
      </c>
      <c r="BC23" s="179">
        <f>INDEX(MO_UI_OOE,0,COLUMN())</f>
        <v>2602.2399999999998</v>
      </c>
      <c r="BD23" s="179">
        <f>INDEX(MO_UI_OOE,0,COLUMN())</f>
        <v>2671.6399999999994</v>
      </c>
      <c r="BE23" s="1098">
        <f>INDEX(MO_UI_OOE,0,COLUMN())</f>
        <v>10174.67</v>
      </c>
      <c r="BF23" s="179">
        <f t="shared" si="25" ref="BF23:BJ23">INDEX(MO_UI_OOE,0,COLUMN())</f>
        <v>2658.3999999999996</v>
      </c>
      <c r="BG23" s="179">
        <f t="shared" si="25"/>
        <v>2842.2069999999999</v>
      </c>
      <c r="BH23" s="780">
        <f>INDEX(MO_UI_OOE,0,COLUMN())</f>
        <v>2945.21</v>
      </c>
      <c r="BI23" s="179">
        <f t="shared" si="25"/>
        <v>3140.2242100000003</v>
      </c>
      <c r="BJ23" s="1098">
        <f t="shared" si="25"/>
        <v>11592.90321</v>
      </c>
      <c r="BK23" s="179">
        <f t="shared" si="26" ref="BK23:BR23">INDEX(MO_UI_OOE,0,COLUMN())</f>
        <v>3271.2045600000001</v>
      </c>
      <c r="BL23" s="179">
        <f t="shared" si="26"/>
        <v>3528.6613800000005</v>
      </c>
      <c r="BM23" s="179">
        <f t="shared" si="26"/>
        <v>3649.3577550000005</v>
      </c>
      <c r="BN23" s="179">
        <f t="shared" si="26"/>
        <v>3395.8363368999999</v>
      </c>
      <c r="BO23" s="1098">
        <f t="shared" si="26"/>
        <v>13845.060031900002</v>
      </c>
      <c r="BP23" s="1098">
        <f t="shared" si="26"/>
        <v>13982.344815993005</v>
      </c>
      <c r="BQ23" s="1098">
        <f t="shared" si="26"/>
        <v>14352.787686125193</v>
      </c>
      <c r="BR23" s="1098">
        <f t="shared" si="26"/>
        <v>14778.520316708949</v>
      </c>
      <c r="BS23" s="177"/>
    </row>
    <row r="24" spans="1:71" s="70" customFormat="1" ht="15">
      <c r="A24" s="261" t="str">
        <f>INDEX(MO_UI_UnderwritingExpense,0,COLUMN())</f>
        <v>Total Property &amp; Liability Underwriting Expense, mm</v>
      </c>
      <c r="B24" s="262"/>
      <c r="C24" s="1095">
        <f t="shared" si="27" ref="C24:AZ24">ROUND(INDEX(SP_UI_Loss,0,COLUMN())+INDEX(SP_UI_OOE,0,COLUMN()),6)</f>
        <v>25204.395</v>
      </c>
      <c r="D24" s="1095">
        <f t="shared" si="27"/>
        <v>25468.900000000001</v>
      </c>
      <c r="E24" s="1095">
        <f t="shared" si="27"/>
        <v>26823.085999999999</v>
      </c>
      <c r="F24" s="1095">
        <f t="shared" si="27"/>
        <v>25533.361000000001</v>
      </c>
      <c r="G24" s="1095">
        <f t="shared" si="27"/>
        <v>25413.470000000001</v>
      </c>
      <c r="H24" s="173">
        <f t="shared" si="27"/>
        <v>6692.6080000000002</v>
      </c>
      <c r="I24" s="173">
        <f t="shared" si="27"/>
        <v>7012.4920000000002</v>
      </c>
      <c r="J24" s="173">
        <f t="shared" si="27"/>
        <v>6834.826</v>
      </c>
      <c r="K24" s="173">
        <f t="shared" si="27"/>
        <v>6623.7539999999999</v>
      </c>
      <c r="L24" s="1095">
        <f t="shared" si="27"/>
        <v>27163.68</v>
      </c>
      <c r="M24" s="173">
        <f t="shared" si="27"/>
        <v>6960.1620000000003</v>
      </c>
      <c r="N24" s="173">
        <f t="shared" si="27"/>
        <v>7558.549</v>
      </c>
      <c r="O24" s="173">
        <f t="shared" si="27"/>
        <v>7155.8500000000004</v>
      </c>
      <c r="P24" s="173">
        <f t="shared" si="27"/>
        <v>6749.6629999999996</v>
      </c>
      <c r="Q24" s="1095">
        <f t="shared" si="27"/>
        <v>28424.223999999998</v>
      </c>
      <c r="R24" s="173">
        <f t="shared" si="27"/>
        <v>7460.72</v>
      </c>
      <c r="S24" s="173">
        <f t="shared" si="27"/>
        <v>7735.3760000000002</v>
      </c>
      <c r="T24" s="173">
        <f t="shared" si="27"/>
        <v>7371.2979999999998</v>
      </c>
      <c r="U24" s="173">
        <f t="shared" si="27"/>
        <v>6945.3450000000003</v>
      </c>
      <c r="V24" s="1095">
        <f t="shared" si="27"/>
        <v>29512.739000000001</v>
      </c>
      <c r="W24" s="173">
        <f t="shared" si="27"/>
        <v>7210.1109999999999</v>
      </c>
      <c r="X24" s="173">
        <f t="shared" si="27"/>
        <v>7538.7550000000001</v>
      </c>
      <c r="Y24" s="173">
        <f t="shared" si="27"/>
        <v>7415.4880000000003</v>
      </c>
      <c r="Z24" s="173">
        <f t="shared" si="27"/>
        <v>7261.6350000000002</v>
      </c>
      <c r="AA24" s="1095">
        <f t="shared" si="27"/>
        <v>29425.989000000001</v>
      </c>
      <c r="AB24" s="173">
        <f t="shared" si="27"/>
        <v>7011.6059999999998</v>
      </c>
      <c r="AC24" s="173">
        <f t="shared" si="27"/>
        <v>7733.4160000000002</v>
      </c>
      <c r="AD24" s="173">
        <f t="shared" si="27"/>
        <v>7809.28</v>
      </c>
      <c r="AE24" s="173">
        <f t="shared" si="27"/>
        <v>8146.2479999999996</v>
      </c>
      <c r="AF24" s="1095">
        <f t="shared" si="27"/>
        <v>30700.549999999999</v>
      </c>
      <c r="AG24" s="173">
        <f t="shared" si="27"/>
        <v>7803.9189999999999</v>
      </c>
      <c r="AH24" s="173">
        <f t="shared" si="27"/>
        <v>8310.7170000000006</v>
      </c>
      <c r="AI24" s="173">
        <f t="shared" si="27"/>
        <v>8046.71</v>
      </c>
      <c r="AJ24" s="173">
        <f t="shared" si="27"/>
        <v>7862.8419999999996</v>
      </c>
      <c r="AK24" s="1095">
        <f t="shared" si="27"/>
        <v>32024.187999999998</v>
      </c>
      <c r="AL24" s="173">
        <f t="shared" si="27"/>
        <v>7534.0879999999997</v>
      </c>
      <c r="AM24" s="173">
        <f>ROUND(INDEX(SP_UI_Loss,0,COLUMN())+INDEX(SP_UI_OOE,0,COLUMN()),6)</f>
        <v>7961.9740000000002</v>
      </c>
      <c r="AN24" s="173">
        <f>ROUND(INDEX(SP_UI_Loss,0,COLUMN())+INDEX(SP_UI_OOE,0,COLUMN()),6)</f>
        <v>8200.7520000000004</v>
      </c>
      <c r="AO24" s="173">
        <f t="shared" si="27"/>
        <v>7476.7529999999997</v>
      </c>
      <c r="AP24" s="1095">
        <f t="shared" si="27"/>
        <v>31173.566999999999</v>
      </c>
      <c r="AQ24" s="173">
        <f>ROUND(INDEX(SP_UI_Loss,0,COLUMN())+INDEX(SP_UI_OOE,0,COLUMN()),6)</f>
        <v>8236.4719999999998</v>
      </c>
      <c r="AR24" s="173">
        <f>ROUND(INDEX(SP_UI_Loss,0,COLUMN())+INDEX(SP_UI_OOE,0,COLUMN()),6)</f>
        <v>9580.6129999999994</v>
      </c>
      <c r="AS24" s="173">
        <f>ROUND(INDEX(SP_UI_Loss,0,COLUMN())+INDEX(SP_UI_OOE,0,COLUMN()),6)</f>
        <v>10688.519</v>
      </c>
      <c r="AT24" s="173">
        <f t="shared" si="27"/>
        <v>10288.42</v>
      </c>
      <c r="AU24" s="1095">
        <f t="shared" si="27"/>
        <v>38794.023999999998</v>
      </c>
      <c r="AV24" s="173">
        <f>ROUND(INDEX(SP_UI_Loss,0,COLUMN())+INDEX(SP_UI_OOE,0,COLUMN()),6)</f>
        <v>10216.554</v>
      </c>
      <c r="AW24" s="173">
        <f>ROUND(INDEX(SP_UI_Loss,0,COLUMN())+INDEX(SP_UI_OOE,0,COLUMN()),6)</f>
        <v>11736.046</v>
      </c>
      <c r="AX24" s="173">
        <f>ROUND(INDEX(SP_UI_Loss,0,COLUMN())+INDEX(SP_UI_OOE,0,COLUMN()),6)</f>
        <v>12450.485000000001</v>
      </c>
      <c r="AY24" s="173">
        <f t="shared" si="27"/>
        <v>12401.182000000001</v>
      </c>
      <c r="AZ24" s="1095">
        <f t="shared" si="27"/>
        <v>46804.267</v>
      </c>
      <c r="BA24" s="173">
        <f>ROUND(INDEX(SP_UI_Loss,0,COLUMN())+INDEX(SP_UI_OOE,0,COLUMN()),6)</f>
        <v>12638.610000000001</v>
      </c>
      <c r="BB24" s="173">
        <f>ROUND(INDEX(SP_UI_Loss,0,COLUMN())+INDEX(SP_UI_OOE,0,COLUMN()),6)</f>
        <v>14009.174999999999</v>
      </c>
      <c r="BC24" s="173">
        <f>ROUND(INDEX(SP_UI_Loss,0,COLUMN())+INDEX(SP_UI_OOE,0,COLUMN()),6)</f>
        <v>12684.290000000001</v>
      </c>
      <c r="BD24" s="173">
        <f>ROUND(INDEX(SP_UI_Loss,0,COLUMN())+INDEX(SP_UI_OOE,0,COLUMN()),6)</f>
        <v>11271.286</v>
      </c>
      <c r="BE24" s="1095">
        <f>ROUND(INDEX(SP_UI_Loss,0,COLUMN())+INDEX(SP_UI_OOE,0,COLUMN()),6)</f>
        <v>50603.360999999997</v>
      </c>
      <c r="BF24" s="173">
        <f t="shared" si="28" ref="BF24:BJ24">ROUND(INDEX(SP_UI_Loss,0,COLUMN())+INDEX(SP_UI_OOE,0,COLUMN()),6)</f>
        <v>12002</v>
      </c>
      <c r="BG24" s="173">
        <f t="shared" si="28"/>
        <v>13488.728999999999</v>
      </c>
      <c r="BH24" s="777">
        <f>ROUND(INDEX(SP_UI_Loss,0,COLUMN())+INDEX(SP_UI_OOE,0,COLUMN()),6)</f>
        <v>13192.546</v>
      </c>
      <c r="BI24" s="173">
        <f t="shared" si="28"/>
        <v>12430.087505</v>
      </c>
      <c r="BJ24" s="1095">
        <f t="shared" si="28"/>
        <v>51123.506504999998</v>
      </c>
      <c r="BK24" s="173">
        <f t="shared" si="29" ref="BK24:BR24">ROUND(INDEX(SP_UI_Loss,0,COLUMN())+INDEX(SP_UI_OOE,0,COLUMN()),6)</f>
        <v>12982.630012</v>
      </c>
      <c r="BL24" s="173">
        <f t="shared" si="29"/>
        <v>14862.437419</v>
      </c>
      <c r="BM24" s="173">
        <f t="shared" si="29"/>
        <v>14887.856718999999</v>
      </c>
      <c r="BN24" s="173">
        <f t="shared" si="29"/>
        <v>13231.519399999999</v>
      </c>
      <c r="BO24" s="1095">
        <f t="shared" si="29"/>
        <v>55964.443550000004</v>
      </c>
      <c r="BP24" s="1095">
        <f t="shared" si="29"/>
        <v>55542.297401999997</v>
      </c>
      <c r="BQ24" s="1095">
        <f t="shared" si="29"/>
        <v>57031.000226999997</v>
      </c>
      <c r="BR24" s="1095">
        <f t="shared" si="29"/>
        <v>58730.758234000001</v>
      </c>
      <c r="BS24" s="175"/>
    </row>
    <row r="25" spans="1:71" s="66" customFormat="1" ht="15">
      <c r="A25" s="270"/>
      <c r="B25" s="260"/>
      <c r="C25" s="1100"/>
      <c r="D25" s="1100"/>
      <c r="E25" s="1100"/>
      <c r="F25" s="1100"/>
      <c r="G25" s="1100"/>
      <c r="H25" s="880"/>
      <c r="I25" s="880"/>
      <c r="J25" s="880"/>
      <c r="K25" s="880"/>
      <c r="L25" s="1100"/>
      <c r="M25" s="880"/>
      <c r="N25" s="880"/>
      <c r="O25" s="880"/>
      <c r="P25" s="880"/>
      <c r="Q25" s="1100"/>
      <c r="R25" s="880"/>
      <c r="S25" s="880"/>
      <c r="T25" s="880"/>
      <c r="U25" s="880"/>
      <c r="V25" s="1100"/>
      <c r="W25" s="880"/>
      <c r="X25" s="880"/>
      <c r="Y25" s="880"/>
      <c r="Z25" s="880"/>
      <c r="AA25" s="1100"/>
      <c r="AB25" s="880"/>
      <c r="AC25" s="880"/>
      <c r="AD25" s="880"/>
      <c r="AE25" s="880"/>
      <c r="AF25" s="1100"/>
      <c r="AG25" s="880"/>
      <c r="AH25" s="880"/>
      <c r="AI25" s="880"/>
      <c r="AJ25" s="880"/>
      <c r="AK25" s="1100"/>
      <c r="AL25" s="880"/>
      <c r="AM25" s="880"/>
      <c r="AN25" s="880"/>
      <c r="AO25" s="880"/>
      <c r="AP25" s="1100"/>
      <c r="AQ25" s="880"/>
      <c r="AR25" s="880"/>
      <c r="AS25" s="880"/>
      <c r="AT25" s="880"/>
      <c r="AU25" s="1100"/>
      <c r="AV25" s="880"/>
      <c r="AW25" s="880"/>
      <c r="AX25" s="880"/>
      <c r="AY25" s="880"/>
      <c r="AZ25" s="1100"/>
      <c r="BA25" s="880"/>
      <c r="BB25" s="880"/>
      <c r="BC25" s="880"/>
      <c r="BD25" s="880"/>
      <c r="BE25" s="1100"/>
      <c r="BF25" s="880"/>
      <c r="BG25" s="880"/>
      <c r="BH25" s="881"/>
      <c r="BI25" s="880"/>
      <c r="BJ25" s="1100"/>
      <c r="BK25" s="880"/>
      <c r="BL25" s="880"/>
      <c r="BM25" s="880"/>
      <c r="BN25" s="880"/>
      <c r="BO25" s="1100"/>
      <c r="BP25" s="1100"/>
      <c r="BQ25" s="1100"/>
      <c r="BR25" s="1100"/>
      <c r="BS25" s="828"/>
    </row>
    <row r="26" spans="1:71" s="70" customFormat="1" ht="15">
      <c r="A26" s="263" t="str">
        <f t="shared" si="30" ref="A26:AF26">INDEX(MO_UI_UI,0,COLUMN())</f>
        <v>Total Property &amp; Liability Underwriting Income, mm</v>
      </c>
      <c r="B26" s="264"/>
      <c r="C26" s="1096">
        <f t="shared" si="30"/>
        <v>995</v>
      </c>
      <c r="D26" s="1096">
        <f t="shared" si="30"/>
        <v>494</v>
      </c>
      <c r="E26" s="1096">
        <f t="shared" si="30"/>
        <v>-882</v>
      </c>
      <c r="F26" s="1096">
        <f t="shared" si="30"/>
        <v>1200</v>
      </c>
      <c r="G26" s="1096">
        <f t="shared" si="30"/>
        <v>2218</v>
      </c>
      <c r="H26" s="175">
        <f t="shared" si="30"/>
        <v>372</v>
      </c>
      <c r="I26" s="175">
        <f t="shared" si="30"/>
        <v>189</v>
      </c>
      <c r="J26" s="175">
        <f t="shared" si="30"/>
        <v>474</v>
      </c>
      <c r="K26" s="175">
        <f t="shared" si="30"/>
        <v>737</v>
      </c>
      <c r="L26" s="1096">
        <f t="shared" si="30"/>
        <v>1772</v>
      </c>
      <c r="M26" s="175">
        <f t="shared" si="30"/>
        <v>467</v>
      </c>
      <c r="N26" s="175">
        <f t="shared" si="30"/>
        <v>-10</v>
      </c>
      <c r="O26" s="175">
        <f t="shared" si="30"/>
        <v>491</v>
      </c>
      <c r="P26" s="175">
        <f t="shared" si="30"/>
        <v>611</v>
      </c>
      <c r="Q26" s="1096">
        <f t="shared" si="30"/>
        <v>1559</v>
      </c>
      <c r="R26" s="175">
        <f t="shared" si="30"/>
        <v>125</v>
      </c>
      <c r="S26" s="175">
        <f t="shared" si="30"/>
        <v>-66</v>
      </c>
      <c r="T26" s="175">
        <f t="shared" si="30"/>
        <v>355</v>
      </c>
      <c r="U26" s="175">
        <f t="shared" si="30"/>
        <v>806</v>
      </c>
      <c r="V26" s="1096">
        <f t="shared" si="30"/>
        <v>1220</v>
      </c>
      <c r="W26" s="175">
        <f t="shared" si="30"/>
        <v>548</v>
      </c>
      <c r="X26" s="175">
        <f t="shared" si="30"/>
        <v>265</v>
      </c>
      <c r="Y26" s="175">
        <f t="shared" si="30"/>
        <v>484</v>
      </c>
      <c r="Z26" s="175">
        <f t="shared" si="30"/>
        <v>715</v>
      </c>
      <c r="AA26" s="1096">
        <f t="shared" si="30"/>
        <v>2012</v>
      </c>
      <c r="AB26" s="175">
        <f t="shared" si="30"/>
        <v>1005</v>
      </c>
      <c r="AC26" s="175">
        <f t="shared" si="30"/>
        <v>455</v>
      </c>
      <c r="AD26" s="175">
        <f t="shared" si="30"/>
        <v>507</v>
      </c>
      <c r="AE26" s="175">
        <f t="shared" si="30"/>
        <v>286</v>
      </c>
      <c r="AF26" s="1096">
        <f t="shared" si="30"/>
        <v>2253</v>
      </c>
      <c r="AG26" s="175">
        <f t="shared" si="31" ref="AG26:AZ26">INDEX(MO_UI_UI,0,COLUMN())</f>
        <v>700</v>
      </c>
      <c r="AH26" s="175">
        <f t="shared" si="31"/>
        <v>367</v>
      </c>
      <c r="AI26" s="175">
        <f t="shared" si="31"/>
        <v>737</v>
      </c>
      <c r="AJ26" s="175">
        <f t="shared" si="31"/>
        <v>1000</v>
      </c>
      <c r="AK26" s="1096">
        <f t="shared" si="31"/>
        <v>2804</v>
      </c>
      <c r="AL26" s="175">
        <f t="shared" si="31"/>
        <v>1348</v>
      </c>
      <c r="AM26" s="175">
        <f>INDEX(MO_UI_UI,0,COLUMN())</f>
        <v>902</v>
      </c>
      <c r="AN26" s="175">
        <f>INDEX(MO_UI_UI,0,COLUMN())</f>
        <v>752</v>
      </c>
      <c r="AO26" s="175">
        <f t="shared" si="31"/>
        <v>1423</v>
      </c>
      <c r="AP26" s="1096">
        <f t="shared" si="31"/>
        <v>4425</v>
      </c>
      <c r="AQ26" s="175">
        <f>INDEX(MO_UI_UI,0,COLUMN())</f>
        <v>1657</v>
      </c>
      <c r="AR26" s="175">
        <f>INDEX(MO_UI_UI,0,COLUMN())</f>
        <v>429</v>
      </c>
      <c r="AS26" s="175">
        <f>INDEX(MO_UI_UI,0,COLUMN())</f>
        <v>-534</v>
      </c>
      <c r="AT26" s="175">
        <f t="shared" si="31"/>
        <v>113</v>
      </c>
      <c r="AU26" s="1096">
        <f t="shared" si="31"/>
        <v>1665</v>
      </c>
      <c r="AV26" s="175">
        <f>INDEX(MO_UI_UI,0,COLUMN())</f>
        <v>280</v>
      </c>
      <c r="AW26" s="175">
        <f>INDEX(MO_UI_UI,0,COLUMN())</f>
        <v>-864</v>
      </c>
      <c r="AX26" s="175">
        <f>INDEX(MO_UI_UI,0,COLUMN())</f>
        <v>-1292</v>
      </c>
      <c r="AY26" s="175">
        <f t="shared" si="31"/>
        <v>-1035</v>
      </c>
      <c r="AZ26" s="1096">
        <f t="shared" si="31"/>
        <v>-2911</v>
      </c>
      <c r="BA26" s="175">
        <f>INDEX(MO_UI_UI,0,COLUMN())</f>
        <v>-1001</v>
      </c>
      <c r="BB26" s="175">
        <f>INDEX(MO_UI_UI,0,COLUMN())</f>
        <v>-2094</v>
      </c>
      <c r="BC26" s="175">
        <f>INDEX(MO_UI_UI,0,COLUMN())</f>
        <v>-414</v>
      </c>
      <c r="BD26" s="175">
        <f>INDEX(MO_UI_UI,0,COLUMN())</f>
        <v>1325</v>
      </c>
      <c r="BE26" s="1096">
        <f>INDEX(MO_UI_UI,0,COLUMN())</f>
        <v>-2184</v>
      </c>
      <c r="BF26" s="175">
        <f t="shared" si="32" ref="BF26:BJ26">INDEX(MO_UI_UI,0,COLUMN())</f>
        <v>898</v>
      </c>
      <c r="BG26" s="175">
        <f t="shared" si="32"/>
        <v>-145</v>
      </c>
      <c r="BH26" s="778">
        <f>INDEX(MO_UI_UI,0,COLUMN())</f>
        <v>495</v>
      </c>
      <c r="BI26" s="175">
        <f t="shared" si="32"/>
        <v>1057.9754950000001</v>
      </c>
      <c r="BJ26" s="1096">
        <f t="shared" si="32"/>
        <v>2305.9754950000001</v>
      </c>
      <c r="BK26" s="175">
        <f t="shared" si="33" ref="BK26:BR26">INDEX(MO_UI_UI,0,COLUMN())</f>
        <v>1129.6819880000005</v>
      </c>
      <c r="BL26" s="175">
        <f t="shared" si="33"/>
        <v>352.69858099999976</v>
      </c>
      <c r="BM26" s="175">
        <f t="shared" si="33"/>
        <v>763.44028100000082</v>
      </c>
      <c r="BN26" s="175">
        <f t="shared" si="33"/>
        <v>1362.2094299499986</v>
      </c>
      <c r="BO26" s="1096">
        <f t="shared" si="33"/>
        <v>3608.0302799499996</v>
      </c>
      <c r="BP26" s="1096">
        <f t="shared" si="33"/>
        <v>4453.7276539535051</v>
      </c>
      <c r="BQ26" s="1096">
        <f t="shared" si="33"/>
        <v>4564.0503883480596</v>
      </c>
      <c r="BR26" s="1096">
        <f t="shared" si="33"/>
        <v>4697.2038999984961</v>
      </c>
      <c r="BS26" s="175"/>
    </row>
    <row r="27" spans="1:71" s="70" customFormat="1" ht="15">
      <c r="A27" s="263"/>
      <c r="B27" s="264"/>
      <c r="C27" s="1096"/>
      <c r="D27" s="1096"/>
      <c r="E27" s="1096"/>
      <c r="F27" s="1096"/>
      <c r="G27" s="1096"/>
      <c r="H27" s="175"/>
      <c r="I27" s="175"/>
      <c r="J27" s="175"/>
      <c r="K27" s="175"/>
      <c r="L27" s="1096"/>
      <c r="M27" s="175"/>
      <c r="N27" s="175"/>
      <c r="O27" s="175"/>
      <c r="P27" s="175"/>
      <c r="Q27" s="1096"/>
      <c r="R27" s="175"/>
      <c r="S27" s="175"/>
      <c r="T27" s="175"/>
      <c r="U27" s="175"/>
      <c r="V27" s="1096"/>
      <c r="W27" s="175"/>
      <c r="X27" s="175"/>
      <c r="Y27" s="175"/>
      <c r="Z27" s="175"/>
      <c r="AA27" s="1096"/>
      <c r="AB27" s="175"/>
      <c r="AC27" s="175"/>
      <c r="AD27" s="175"/>
      <c r="AE27" s="175"/>
      <c r="AF27" s="1096"/>
      <c r="AG27" s="175"/>
      <c r="AH27" s="175"/>
      <c r="AI27" s="175"/>
      <c r="AJ27" s="175"/>
      <c r="AK27" s="1096"/>
      <c r="AL27" s="175"/>
      <c r="AM27" s="175"/>
      <c r="AN27" s="175"/>
      <c r="AO27" s="175"/>
      <c r="AP27" s="1096"/>
      <c r="AQ27" s="175"/>
      <c r="AR27" s="175"/>
      <c r="AS27" s="175"/>
      <c r="AT27" s="175"/>
      <c r="AU27" s="1096"/>
      <c r="AV27" s="175"/>
      <c r="AW27" s="175"/>
      <c r="AX27" s="175"/>
      <c r="AY27" s="175"/>
      <c r="AZ27" s="1096"/>
      <c r="BA27" s="175"/>
      <c r="BB27" s="175"/>
      <c r="BC27" s="175"/>
      <c r="BD27" s="175"/>
      <c r="BE27" s="1096"/>
      <c r="BF27" s="175"/>
      <c r="BG27" s="175"/>
      <c r="BH27" s="778"/>
      <c r="BI27" s="175"/>
      <c r="BJ27" s="1096"/>
      <c r="BK27" s="175"/>
      <c r="BL27" s="175"/>
      <c r="BM27" s="175"/>
      <c r="BN27" s="175"/>
      <c r="BO27" s="1096"/>
      <c r="BP27" s="1096"/>
      <c r="BQ27" s="1096"/>
      <c r="BR27" s="1096"/>
      <c r="BS27" s="175"/>
    </row>
    <row r="28" spans="1:71" ht="15">
      <c r="A28" s="167" t="s">
        <v>262</v>
      </c>
      <c r="B28" s="826"/>
      <c r="C28" s="874"/>
      <c r="D28" s="874"/>
      <c r="E28" s="874"/>
      <c r="F28" s="874"/>
      <c r="G28" s="874"/>
      <c r="H28" s="874"/>
      <c r="I28" s="874"/>
      <c r="J28" s="874"/>
      <c r="K28" s="874"/>
      <c r="L28" s="874"/>
      <c r="M28" s="874"/>
      <c r="N28" s="874"/>
      <c r="O28" s="874"/>
      <c r="P28" s="874"/>
      <c r="Q28" s="874"/>
      <c r="R28" s="874"/>
      <c r="S28" s="874"/>
      <c r="T28" s="874"/>
      <c r="U28" s="874"/>
      <c r="V28" s="874"/>
      <c r="W28" s="874"/>
      <c r="X28" s="874"/>
      <c r="Y28" s="874"/>
      <c r="Z28" s="874"/>
      <c r="AA28" s="874"/>
      <c r="AB28" s="874"/>
      <c r="AC28" s="874"/>
      <c r="AD28" s="874"/>
      <c r="AE28" s="874"/>
      <c r="AF28" s="874"/>
      <c r="AG28" s="874"/>
      <c r="AH28" s="874"/>
      <c r="AI28" s="874"/>
      <c r="AJ28" s="874"/>
      <c r="AK28" s="874"/>
      <c r="AL28" s="874"/>
      <c r="AM28" s="874"/>
      <c r="AN28" s="874"/>
      <c r="AO28" s="874"/>
      <c r="AP28" s="874"/>
      <c r="AQ28" s="874"/>
      <c r="AR28" s="874"/>
      <c r="AS28" s="874"/>
      <c r="AT28" s="874"/>
      <c r="AU28" s="874"/>
      <c r="AV28" s="874"/>
      <c r="AW28" s="874"/>
      <c r="AX28" s="874"/>
      <c r="AY28" s="874"/>
      <c r="AZ28" s="874"/>
      <c r="BA28" s="874"/>
      <c r="BB28" s="874"/>
      <c r="BC28" s="874"/>
      <c r="BD28" s="874"/>
      <c r="BE28" s="874"/>
      <c r="BF28" s="874"/>
      <c r="BG28" s="874"/>
      <c r="BH28" s="875"/>
      <c r="BI28" s="874"/>
      <c r="BJ28" s="874"/>
      <c r="BK28" s="874"/>
      <c r="BL28" s="874"/>
      <c r="BM28" s="874"/>
      <c r="BN28" s="874"/>
      <c r="BO28" s="874"/>
      <c r="BP28" s="874"/>
      <c r="BQ28" s="874"/>
      <c r="BR28" s="874"/>
      <c r="BS28" s="827"/>
    </row>
    <row r="29" spans="1:71" s="69" customFormat="1" ht="15">
      <c r="A29" s="271" t="str">
        <f>INDEX(MO_UR_LossRatio,0,COLUMN())</f>
        <v>Property &amp; Liability - Loss and LAE Ratio, %</v>
      </c>
      <c r="B29" s="272"/>
      <c r="C29" s="1101">
        <f t="shared" si="34" ref="C29:AZ29">INDEX(MO_UR_LossRatio,0,COLUMN())</f>
        <v>0.71594400000000002</v>
      </c>
      <c r="D29" s="1101">
        <f t="shared" si="34"/>
        <v>0.73002299999999998</v>
      </c>
      <c r="E29" s="1101">
        <f t="shared" si="34"/>
        <v>0.77680899999999997</v>
      </c>
      <c r="F29" s="1101">
        <f t="shared" si="34"/>
        <v>0.69090700000000005</v>
      </c>
      <c r="G29" s="1101">
        <f t="shared" si="34"/>
        <v>0.649142</v>
      </c>
      <c r="H29" s="181">
        <f t="shared" si="34"/>
        <v>0.67442500000000005</v>
      </c>
      <c r="I29" s="181">
        <f t="shared" si="34"/>
        <v>0.71327799999999997</v>
      </c>
      <c r="J29" s="181">
        <f t="shared" si="34"/>
        <v>0.67227999999999999</v>
      </c>
      <c r="K29" s="181">
        <f t="shared" si="34"/>
        <v>0.64069399999999999</v>
      </c>
      <c r="L29" s="1101">
        <f t="shared" si="34"/>
        <v>0.67188300000000001</v>
      </c>
      <c r="M29" s="181">
        <f t="shared" si="34"/>
        <v>0.67213500000000004</v>
      </c>
      <c r="N29" s="181">
        <f t="shared" si="34"/>
        <v>0.74026499999999995</v>
      </c>
      <c r="O29" s="181">
        <f t="shared" si="34"/>
        <v>0.68627499999999997</v>
      </c>
      <c r="P29" s="181">
        <f t="shared" si="34"/>
        <v>0.66839999999999999</v>
      </c>
      <c r="Q29" s="1101">
        <f t="shared" si="34"/>
        <v>0.68874899999999994</v>
      </c>
      <c r="R29" s="181">
        <f t="shared" si="34"/>
        <v>0.73613200000000001</v>
      </c>
      <c r="S29" s="181">
        <f t="shared" si="34"/>
        <v>0.75526099999999996</v>
      </c>
      <c r="T29" s="181">
        <f t="shared" si="34"/>
        <v>0.70582500000000004</v>
      </c>
      <c r="U29" s="181">
        <f t="shared" si="34"/>
        <v>0.66530599999999995</v>
      </c>
      <c r="V29" s="1101">
        <f t="shared" si="34"/>
        <v>0.71541699999999997</v>
      </c>
      <c r="W29" s="181">
        <f t="shared" si="34"/>
        <v>0.68625800000000003</v>
      </c>
      <c r="X29" s="181">
        <f t="shared" si="34"/>
        <v>0.71838400000000002</v>
      </c>
      <c r="Y29" s="181">
        <f t="shared" si="34"/>
        <v>0.68914500000000001</v>
      </c>
      <c r="Z29" s="181">
        <f t="shared" si="34"/>
        <v>0.65112899999999996</v>
      </c>
      <c r="AA29" s="1101">
        <f t="shared" si="34"/>
        <v>0.68605400000000005</v>
      </c>
      <c r="AB29" s="181">
        <f t="shared" si="34"/>
        <v>0.62837399999999999</v>
      </c>
      <c r="AC29" s="181">
        <f t="shared" si="34"/>
        <v>0.69424399999999997</v>
      </c>
      <c r="AD29" s="181">
        <f t="shared" si="34"/>
        <v>0.68661499999999998</v>
      </c>
      <c r="AE29" s="181">
        <f t="shared" si="34"/>
        <v>0.71127499999999999</v>
      </c>
      <c r="AF29" s="1101">
        <f t="shared" si="34"/>
        <v>0.68064000000000002</v>
      </c>
      <c r="AG29" s="181">
        <f t="shared" si="34"/>
        <v>0.67323500000000003</v>
      </c>
      <c r="AH29" s="181">
        <f t="shared" si="34"/>
        <v>0.72234600000000004</v>
      </c>
      <c r="AI29" s="181">
        <f t="shared" si="34"/>
        <v>0.67915899999999996</v>
      </c>
      <c r="AJ29" s="181">
        <f t="shared" si="34"/>
        <v>0.63808799999999999</v>
      </c>
      <c r="AK29" s="1101">
        <f t="shared" si="34"/>
        <v>0.67801400000000001</v>
      </c>
      <c r="AL29" s="181">
        <f>INDEX(MO_UR_LossRatio,0,COLUMN())</f>
        <v>0.591225</v>
      </c>
      <c r="AM29" s="181">
        <f>INDEX(MO_UR_LossRatio,0,COLUMN())</f>
        <v>0.58022600000000002</v>
      </c>
      <c r="AN29" s="181">
        <f>INDEX(MO_UR_LossRatio,0,COLUMN())</f>
        <v>0.66708000000000001</v>
      </c>
      <c r="AO29" s="181">
        <f t="shared" si="34"/>
        <v>0.593225</v>
      </c>
      <c r="AP29" s="1101">
        <f t="shared" si="34"/>
        <v>0.60807</v>
      </c>
      <c r="AQ29" s="181">
        <f>INDEX(MO_UR_LossRatio,0,COLUMN())</f>
        <v>0.600101</v>
      </c>
      <c r="AR29" s="181">
        <f>INDEX(MO_UR_LossRatio,0,COLUMN())</f>
        <v>0.71009999999999995</v>
      </c>
      <c r="AS29" s="181">
        <f>INDEX(MO_UR_LossRatio,0,COLUMN())</f>
        <v>0.80112300000000003</v>
      </c>
      <c r="AT29" s="181">
        <f t="shared" si="34"/>
        <v>0.74053800000000003</v>
      </c>
      <c r="AU29" s="1101">
        <f t="shared" si="34"/>
        <v>0.71386700000000003</v>
      </c>
      <c r="AV29" s="181">
        <f>INDEX(MO_UR_LossRatio,0,COLUMN())</f>
        <v>0.73309500000000005</v>
      </c>
      <c r="AW29" s="181">
        <f>INDEX(MO_UR_LossRatio,0,COLUMN())</f>
        <v>0.84927600000000003</v>
      </c>
      <c r="AX29" s="181">
        <f>INDEX(MO_UR_LossRatio,0,COLUMN())</f>
        <v>0.89075599999999999</v>
      </c>
      <c r="AY29" s="181">
        <f t="shared" si="34"/>
        <v>0.86397000000000002</v>
      </c>
      <c r="AZ29" s="1101">
        <f t="shared" si="34"/>
        <v>0.83584700000000001</v>
      </c>
      <c r="BA29" s="181">
        <f>INDEX(MO_UR_LossRatio,0,COLUMN())</f>
        <v>0.87517199999999995</v>
      </c>
      <c r="BB29" s="181">
        <f>INDEX(MO_UR_LossRatio,0,COLUMN())</f>
        <v>0.97008399999999995</v>
      </c>
      <c r="BC29" s="181">
        <f>INDEX(MO_UR_LossRatio,0,COLUMN())</f>
        <v>0.82168300000000005</v>
      </c>
      <c r="BD29" s="181">
        <f>INDEX(MO_UR_LossRatio,0,COLUMN())</f>
        <v>0.68245699999999998</v>
      </c>
      <c r="BE29" s="1101">
        <f>INDEX(MO_UR_LossRatio,0,COLUMN())</f>
        <v>0.83483799999999997</v>
      </c>
      <c r="BF29" s="181">
        <f t="shared" si="35" ref="BF29:BJ29">INDEX(MO_UR_LossRatio,0,COLUMN())</f>
        <v>0.72431000000000001</v>
      </c>
      <c r="BG29" s="181">
        <f t="shared" si="35"/>
        <v>0.79815000000000003</v>
      </c>
      <c r="BH29" s="781">
        <f>INDEX(MO_UR_LossRatio,0,COLUMN())</f>
        <v>0.74830799999999997</v>
      </c>
      <c r="BI29" s="181">
        <f t="shared" si="35"/>
        <v>0.68884900000000004</v>
      </c>
      <c r="BJ29" s="1101">
        <f t="shared" si="35"/>
        <v>0.74000900000000003</v>
      </c>
      <c r="BK29" s="181">
        <f t="shared" si="36" ref="BK29:BR29">INDEX(MO_UR_LossRatio,0,COLUMN())</f>
        <v>0.68825000000000003</v>
      </c>
      <c r="BL29" s="181">
        <f t="shared" si="36"/>
        <v>0.74499899999999997</v>
      </c>
      <c r="BM29" s="181">
        <f t="shared" si="36"/>
        <v>0.71814699999999998</v>
      </c>
      <c r="BN29" s="181">
        <f t="shared" si="36"/>
        <v>0.67405899999999996</v>
      </c>
      <c r="BO29" s="1101">
        <f t="shared" si="36"/>
        <v>0.70712299999999995</v>
      </c>
      <c r="BP29" s="1101">
        <f t="shared" si="36"/>
        <v>0.69280399999999998</v>
      </c>
      <c r="BQ29" s="1101">
        <f t="shared" si="36"/>
        <v>0.69297399999999998</v>
      </c>
      <c r="BR29" s="1101">
        <f t="shared" si="36"/>
        <v>0.69303499999999996</v>
      </c>
      <c r="BS29" s="181"/>
    </row>
    <row r="30" spans="1:71" s="69" customFormat="1" ht="15">
      <c r="A30" s="273" t="str">
        <f>INDEX(MO_UR_OOERatio,0,COLUMN())</f>
        <v>Property &amp; Liability - Other Operating Expense Ratio, %</v>
      </c>
      <c r="B30" s="274"/>
      <c r="C30" s="1102">
        <f t="shared" si="37" ref="C30:AZ30">INDEX(MO_UR_OOERatio,0,COLUMN())</f>
        <v>0.246277</v>
      </c>
      <c r="D30" s="1102">
        <f t="shared" si="37"/>
        <v>0.25117299999999998</v>
      </c>
      <c r="E30" s="1102">
        <f t="shared" si="37"/>
        <v>0.25715399999999999</v>
      </c>
      <c r="F30" s="1102">
        <f t="shared" si="37"/>
        <v>0.264075</v>
      </c>
      <c r="G30" s="1102">
        <f t="shared" si="37"/>
        <v>0.271036</v>
      </c>
      <c r="H30" s="183">
        <f t="shared" si="37"/>
        <v>0.27300000000000002</v>
      </c>
      <c r="I30" s="183">
        <f t="shared" si="37"/>
        <v>0.26013900000000001</v>
      </c>
      <c r="J30" s="183">
        <f t="shared" si="37"/>
        <v>0.26310099999999997</v>
      </c>
      <c r="K30" s="183">
        <f t="shared" si="37"/>
        <v>0.27748600000000001</v>
      </c>
      <c r="L30" s="1102">
        <f t="shared" si="37"/>
        <v>0.267094</v>
      </c>
      <c r="M30" s="183">
        <f t="shared" si="37"/>
        <v>0.26513500000000001</v>
      </c>
      <c r="N30" s="183">
        <f t="shared" si="37"/>
        <v>0.26100000000000001</v>
      </c>
      <c r="O30" s="183">
        <f t="shared" si="37"/>
        <v>0.24913099999999999</v>
      </c>
      <c r="P30" s="183">
        <f t="shared" si="37"/>
        <v>0.225714</v>
      </c>
      <c r="Q30" s="1102">
        <f t="shared" si="37"/>
        <v>0.24906600000000001</v>
      </c>
      <c r="R30" s="183">
        <f t="shared" si="37"/>
        <v>0.24813199999999999</v>
      </c>
      <c r="S30" s="183">
        <f t="shared" si="37"/>
        <v>0.253</v>
      </c>
      <c r="T30" s="183">
        <f t="shared" si="37"/>
        <v>0.24912999999999999</v>
      </c>
      <c r="U30" s="183">
        <f t="shared" si="37"/>
        <v>0.23017399999999999</v>
      </c>
      <c r="V30" s="1102">
        <f t="shared" si="37"/>
        <v>0.24506500000000001</v>
      </c>
      <c r="W30" s="183">
        <f t="shared" si="37"/>
        <v>0.24299999999999999</v>
      </c>
      <c r="X30" s="183">
        <f t="shared" si="37"/>
        <v>0.247256</v>
      </c>
      <c r="Y30" s="183">
        <f t="shared" si="37"/>
        <v>0.25</v>
      </c>
      <c r="Z30" s="183">
        <f t="shared" si="37"/>
        <v>0.259878</v>
      </c>
      <c r="AA30" s="1102">
        <f t="shared" si="37"/>
        <v>0.25009500000000001</v>
      </c>
      <c r="AB30" s="183">
        <f t="shared" si="37"/>
        <v>0.246</v>
      </c>
      <c r="AC30" s="183">
        <f t="shared" si="37"/>
        <v>0.25012200000000001</v>
      </c>
      <c r="AD30" s="183">
        <f t="shared" si="37"/>
        <v>0.252</v>
      </c>
      <c r="AE30" s="183">
        <f t="shared" si="37"/>
        <v>0.25598300000000002</v>
      </c>
      <c r="AF30" s="1102">
        <f t="shared" si="37"/>
        <v>0.25109100000000001</v>
      </c>
      <c r="AG30" s="183">
        <f t="shared" si="37"/>
        <v>0.244118</v>
      </c>
      <c r="AH30" s="183">
        <f t="shared" si="37"/>
        <v>0.235</v>
      </c>
      <c r="AI30" s="183">
        <f t="shared" si="37"/>
        <v>0.23711399999999999</v>
      </c>
      <c r="AJ30" s="183">
        <f t="shared" si="37"/>
        <v>0.24806600000000001</v>
      </c>
      <c r="AK30" s="1102">
        <f t="shared" si="37"/>
        <v>0.24108599999999999</v>
      </c>
      <c r="AL30" s="183">
        <f>INDEX(MO_UR_OOERatio,0,COLUMN())</f>
        <v>0.25711299999999998</v>
      </c>
      <c r="AM30" s="183">
        <f>INDEX(MO_UR_OOERatio,0,COLUMN())</f>
        <v>0.31811299999999998</v>
      </c>
      <c r="AN30" s="183">
        <f>INDEX(MO_UR_OOERatio,0,COLUMN())</f>
        <v>0.249</v>
      </c>
      <c r="AO30" s="183">
        <f t="shared" si="37"/>
        <v>0.24837200000000001</v>
      </c>
      <c r="AP30" s="1102">
        <f t="shared" si="37"/>
        <v>0.26808399999999999</v>
      </c>
      <c r="AQ30" s="183">
        <f>INDEX(MO_UR_OOERatio,0,COLUMN())</f>
        <v>0.23220199999999999</v>
      </c>
      <c r="AR30" s="183">
        <f>INDEX(MO_UR_OOERatio,0,COLUMN())</f>
        <v>0.24709999999999999</v>
      </c>
      <c r="AS30" s="183">
        <f>INDEX(MO_UR_OOERatio,0,COLUMN())</f>
        <v>0.251</v>
      </c>
      <c r="AT30" s="183">
        <f t="shared" si="37"/>
        <v>0.24968499999999999</v>
      </c>
      <c r="AU30" s="1102">
        <f t="shared" si="37"/>
        <v>0.24509900000000001</v>
      </c>
      <c r="AV30" s="183">
        <f>INDEX(MO_UR_OOERatio,0,COLUMN())</f>
        <v>0.240095</v>
      </c>
      <c r="AW30" s="183">
        <f>INDEX(MO_UR_OOERatio,0,COLUMN())</f>
        <v>0.23</v>
      </c>
      <c r="AX30" s="183">
        <f>INDEX(MO_UR_OOERatio,0,COLUMN())</f>
        <v>0.22517899999999999</v>
      </c>
      <c r="AY30" s="183">
        <f t="shared" si="37"/>
        <v>0.22576499999999999</v>
      </c>
      <c r="AZ30" s="1102">
        <f t="shared" si="37"/>
        <v>0.23009099999999999</v>
      </c>
      <c r="BA30" s="183">
        <f>INDEX(MO_UR_OOERatio,0,COLUMN())</f>
        <v>0.211086</v>
      </c>
      <c r="BB30" s="183">
        <f>INDEX(MO_UR_OOERatio,0,COLUMN())</f>
        <v>0.20508399999999999</v>
      </c>
      <c r="BC30" s="183">
        <f>INDEX(MO_UR_OOERatio,0,COLUMN())</f>
        <v>0.21208099999999999</v>
      </c>
      <c r="BD30" s="183">
        <f>INDEX(MO_UR_OOERatio,0,COLUMN())</f>
        <v>0.21201800000000001</v>
      </c>
      <c r="BE30" s="1102">
        <f>INDEX(MO_UR_OOERatio,0,COLUMN())</f>
        <v>0.21010300000000001</v>
      </c>
      <c r="BF30" s="183">
        <f t="shared" si="38" ref="BF30:BJ30">INDEX(MO_UR_OOERatio,0,COLUMN())</f>
        <v>0.20607800000000001</v>
      </c>
      <c r="BG30" s="183">
        <f t="shared" si="38"/>
        <v>0.21307499999999999</v>
      </c>
      <c r="BH30" s="782">
        <f>INDEX(MO_UR_OOERatio,0,COLUMN())</f>
        <v>0.21507299999999999</v>
      </c>
      <c r="BI30" s="183">
        <f t="shared" si="38"/>
        <v>0.23285</v>
      </c>
      <c r="BJ30" s="1102">
        <f t="shared" si="38"/>
        <v>0.21701799999999999</v>
      </c>
      <c r="BK30" s="183">
        <f t="shared" si="39" ref="BK30:BR30">INDEX(MO_UR_OOERatio,0,COLUMN())</f>
        <v>0.23183100000000001</v>
      </c>
      <c r="BL30" s="183">
        <f t="shared" si="39"/>
        <v>0.23194799999999999</v>
      </c>
      <c r="BM30" s="183">
        <f t="shared" si="39"/>
        <v>0.23319599999999999</v>
      </c>
      <c r="BN30" s="183">
        <f t="shared" si="39"/>
        <v>0.23272300000000001</v>
      </c>
      <c r="BO30" s="1102">
        <f t="shared" si="39"/>
        <v>0.23243800000000001</v>
      </c>
      <c r="BP30" s="1102">
        <f t="shared" si="39"/>
        <v>0.23308599999999999</v>
      </c>
      <c r="BQ30" s="1102">
        <f t="shared" si="39"/>
        <v>0.23304900000000001</v>
      </c>
      <c r="BR30" s="1102">
        <f t="shared" si="39"/>
        <v>0.23302600000000001</v>
      </c>
      <c r="BS30" s="181"/>
    </row>
    <row r="31" spans="1:71" s="72" customFormat="1" ht="15">
      <c r="A31" s="372" t="str">
        <f>INDEX(MO_UR_CombinedRatio,0,COLUMN())</f>
        <v>Property &amp; Liability - Combined Ratio, %</v>
      </c>
      <c r="B31" s="373"/>
      <c r="C31" s="1103">
        <f t="shared" si="40" ref="C31:AZ31">INDEX(MO_UR_CombinedRatio,0,COLUMN())</f>
        <v>0.96221999999999996</v>
      </c>
      <c r="D31" s="1103">
        <f t="shared" si="40"/>
        <v>0.98119599999999996</v>
      </c>
      <c r="E31" s="1103">
        <f t="shared" si="40"/>
        <v>1.0339640000000001</v>
      </c>
      <c r="F31" s="1103">
        <f t="shared" si="40"/>
        <v>0.954982</v>
      </c>
      <c r="G31" s="1103">
        <f t="shared" si="40"/>
        <v>0.92017800000000005</v>
      </c>
      <c r="H31" s="375">
        <f t="shared" si="40"/>
        <v>0.94742499999999996</v>
      </c>
      <c r="I31" s="375">
        <f t="shared" si="40"/>
        <v>0.97341599999999995</v>
      </c>
      <c r="J31" s="375">
        <f t="shared" si="40"/>
        <v>0.93538100000000002</v>
      </c>
      <c r="K31" s="375">
        <f t="shared" si="40"/>
        <v>0.91818</v>
      </c>
      <c r="L31" s="1103">
        <f t="shared" si="40"/>
        <v>0.93897699999999995</v>
      </c>
      <c r="M31" s="375">
        <f t="shared" si="40"/>
        <v>0.93726900000000002</v>
      </c>
      <c r="N31" s="375">
        <f t="shared" si="40"/>
        <v>1.0012650000000001</v>
      </c>
      <c r="O31" s="375">
        <f t="shared" si="40"/>
        <v>0.93540500000000004</v>
      </c>
      <c r="P31" s="375">
        <f t="shared" si="40"/>
        <v>0.89411399999999996</v>
      </c>
      <c r="Q31" s="1103">
        <f t="shared" si="40"/>
        <v>0.93781499999999995</v>
      </c>
      <c r="R31" s="375">
        <f t="shared" si="40"/>
        <v>0.98426400000000003</v>
      </c>
      <c r="S31" s="375">
        <f t="shared" si="40"/>
        <v>1.0082610000000001</v>
      </c>
      <c r="T31" s="375">
        <f t="shared" si="40"/>
        <v>0.954955</v>
      </c>
      <c r="U31" s="375">
        <f t="shared" si="40"/>
        <v>0.89548000000000005</v>
      </c>
      <c r="V31" s="1103">
        <f t="shared" si="40"/>
        <v>0.96048199999999995</v>
      </c>
      <c r="W31" s="375">
        <f t="shared" si="40"/>
        <v>0.92925800000000003</v>
      </c>
      <c r="X31" s="375">
        <f t="shared" si="40"/>
        <v>0.96564000000000005</v>
      </c>
      <c r="Y31" s="375">
        <f t="shared" si="40"/>
        <v>0.93914500000000001</v>
      </c>
      <c r="Z31" s="375">
        <f t="shared" si="40"/>
        <v>0.91100700000000001</v>
      </c>
      <c r="AA31" s="1103">
        <f t="shared" si="40"/>
        <v>0.93615000000000004</v>
      </c>
      <c r="AB31" s="375">
        <f t="shared" si="40"/>
        <v>0.87437399999999998</v>
      </c>
      <c r="AC31" s="375">
        <f t="shared" si="40"/>
        <v>0.94436600000000004</v>
      </c>
      <c r="AD31" s="375">
        <f t="shared" si="40"/>
        <v>0.93861499999999998</v>
      </c>
      <c r="AE31" s="375">
        <f t="shared" si="40"/>
        <v>0.96725799999999995</v>
      </c>
      <c r="AF31" s="1103">
        <f t="shared" si="40"/>
        <v>0.93173099999999998</v>
      </c>
      <c r="AG31" s="375">
        <f t="shared" si="40"/>
        <v>0.91735299999999997</v>
      </c>
      <c r="AH31" s="375">
        <f t="shared" si="40"/>
        <v>0.95734600000000003</v>
      </c>
      <c r="AI31" s="375">
        <f t="shared" si="40"/>
        <v>0.916273</v>
      </c>
      <c r="AJ31" s="375">
        <f t="shared" si="40"/>
        <v>0.886154</v>
      </c>
      <c r="AK31" s="1103">
        <f t="shared" si="40"/>
        <v>0.91910000000000003</v>
      </c>
      <c r="AL31" s="375">
        <f>INDEX(MO_UR_CombinedRatio,0,COLUMN())</f>
        <v>0.84833800000000004</v>
      </c>
      <c r="AM31" s="375">
        <f>INDEX(MO_UR_CombinedRatio,0,COLUMN())</f>
        <v>0.89833799999999997</v>
      </c>
      <c r="AN31" s="375">
        <f>INDEX(MO_UR_CombinedRatio,0,COLUMN())</f>
        <v>0.91608000000000001</v>
      </c>
      <c r="AO31" s="375">
        <f t="shared" si="40"/>
        <v>0.84159799999999996</v>
      </c>
      <c r="AP31" s="1103">
        <f t="shared" si="40"/>
        <v>0.87615399999999999</v>
      </c>
      <c r="AQ31" s="375">
        <f>INDEX(MO_UR_CombinedRatio,0,COLUMN())</f>
        <v>0.83230300000000002</v>
      </c>
      <c r="AR31" s="375">
        <f>INDEX(MO_UR_CombinedRatio,0,COLUMN())</f>
        <v>0.95720000000000005</v>
      </c>
      <c r="AS31" s="375">
        <f>INDEX(MO_UR_CombinedRatio,0,COLUMN())</f>
        <v>1.0521229999999999</v>
      </c>
      <c r="AT31" s="375">
        <f t="shared" si="40"/>
        <v>0.99022299999999996</v>
      </c>
      <c r="AU31" s="1103">
        <f t="shared" si="40"/>
        <v>0.95896599999999999</v>
      </c>
      <c r="AV31" s="375">
        <f>INDEX(MO_UR_CombinedRatio,0,COLUMN())</f>
        <v>0.97319100000000003</v>
      </c>
      <c r="AW31" s="375">
        <f>INDEX(MO_UR_CombinedRatio,0,COLUMN())</f>
        <v>1.0792759999999999</v>
      </c>
      <c r="AX31" s="375">
        <f>INDEX(MO_UR_CombinedRatio,0,COLUMN())</f>
        <v>1.1159349999999999</v>
      </c>
      <c r="AY31" s="375">
        <f t="shared" si="40"/>
        <v>1.0897349999999999</v>
      </c>
      <c r="AZ31" s="1103">
        <f t="shared" si="40"/>
        <v>1.0659380000000001</v>
      </c>
      <c r="BA31" s="375">
        <f>INDEX(MO_UR_CombinedRatio,0,COLUMN())</f>
        <v>1.0862579999999999</v>
      </c>
      <c r="BB31" s="375">
        <f>INDEX(MO_UR_CombinedRatio,0,COLUMN())</f>
        <v>1.175168</v>
      </c>
      <c r="BC31" s="375">
        <f>INDEX(MO_UR_CombinedRatio,0,COLUMN())</f>
        <v>1.0337639999999999</v>
      </c>
      <c r="BD31" s="375">
        <f>INDEX(MO_UR_CombinedRatio,0,COLUMN())</f>
        <v>0.89447600000000005</v>
      </c>
      <c r="BE31" s="1103">
        <f>INDEX(MO_UR_CombinedRatio,0,COLUMN())</f>
        <v>1.0449409999999999</v>
      </c>
      <c r="BF31" s="375">
        <f t="shared" si="41" ref="BF31:BJ31">INDEX(MO_UR_CombinedRatio,0,COLUMN())</f>
        <v>0.93038799999999999</v>
      </c>
      <c r="BG31" s="375">
        <f t="shared" si="41"/>
        <v>1.011225</v>
      </c>
      <c r="BH31" s="783">
        <f>INDEX(MO_UR_CombinedRatio,0,COLUMN())</f>
        <v>0.96338100000000004</v>
      </c>
      <c r="BI31" s="375">
        <f t="shared" si="41"/>
        <v>0.92169900000000005</v>
      </c>
      <c r="BJ31" s="1103">
        <f t="shared" si="41"/>
        <v>0.95702699999999996</v>
      </c>
      <c r="BK31" s="375">
        <f t="shared" si="42" ref="BK31:BR31">INDEX(MO_UR_CombinedRatio,0,COLUMN())</f>
        <v>0.92008100000000004</v>
      </c>
      <c r="BL31" s="375">
        <f t="shared" si="42"/>
        <v>0.97694800000000004</v>
      </c>
      <c r="BM31" s="375">
        <f t="shared" si="42"/>
        <v>0.95134300000000005</v>
      </c>
      <c r="BN31" s="375">
        <f t="shared" si="42"/>
        <v>0.90678199999999998</v>
      </c>
      <c r="BO31" s="1103">
        <f t="shared" si="42"/>
        <v>0.93956099999999998</v>
      </c>
      <c r="BP31" s="1103">
        <f t="shared" si="42"/>
        <v>0.92588999999999999</v>
      </c>
      <c r="BQ31" s="1103">
        <f t="shared" si="42"/>
        <v>0.92602300000000004</v>
      </c>
      <c r="BR31" s="1103">
        <f t="shared" si="42"/>
        <v>0.92606100000000002</v>
      </c>
      <c r="BS31" s="185"/>
    </row>
    <row r="32" spans="1:71" s="70" customFormat="1" ht="15">
      <c r="A32" s="263"/>
      <c r="B32" s="264"/>
      <c r="C32" s="1096"/>
      <c r="D32" s="1096"/>
      <c r="E32" s="1096"/>
      <c r="F32" s="1096"/>
      <c r="G32" s="1096"/>
      <c r="H32" s="175"/>
      <c r="I32" s="175"/>
      <c r="J32" s="175"/>
      <c r="K32" s="175"/>
      <c r="L32" s="1096"/>
      <c r="M32" s="175"/>
      <c r="N32" s="175"/>
      <c r="O32" s="175"/>
      <c r="P32" s="175"/>
      <c r="Q32" s="1096"/>
      <c r="R32" s="175"/>
      <c r="S32" s="175"/>
      <c r="T32" s="175"/>
      <c r="U32" s="175"/>
      <c r="V32" s="1096"/>
      <c r="W32" s="175"/>
      <c r="X32" s="175"/>
      <c r="Y32" s="175"/>
      <c r="Z32" s="175"/>
      <c r="AA32" s="1096"/>
      <c r="AB32" s="175"/>
      <c r="AC32" s="175"/>
      <c r="AD32" s="175"/>
      <c r="AE32" s="175"/>
      <c r="AF32" s="1096"/>
      <c r="AG32" s="175"/>
      <c r="AH32" s="175"/>
      <c r="AI32" s="175"/>
      <c r="AJ32" s="175"/>
      <c r="AK32" s="1096"/>
      <c r="AL32" s="175"/>
      <c r="AM32" s="175"/>
      <c r="AN32" s="175"/>
      <c r="AO32" s="175"/>
      <c r="AP32" s="1096"/>
      <c r="AQ32" s="175"/>
      <c r="AR32" s="175"/>
      <c r="AS32" s="175"/>
      <c r="AT32" s="175"/>
      <c r="AU32" s="1096"/>
      <c r="AV32" s="175"/>
      <c r="AW32" s="175"/>
      <c r="AX32" s="175"/>
      <c r="AY32" s="175"/>
      <c r="AZ32" s="1096"/>
      <c r="BA32" s="175"/>
      <c r="BB32" s="175"/>
      <c r="BC32" s="175"/>
      <c r="BD32" s="175"/>
      <c r="BE32" s="1096"/>
      <c r="BF32" s="175"/>
      <c r="BG32" s="175"/>
      <c r="BH32" s="778"/>
      <c r="BI32" s="175"/>
      <c r="BJ32" s="1096"/>
      <c r="BK32" s="175"/>
      <c r="BL32" s="175"/>
      <c r="BM32" s="175"/>
      <c r="BN32" s="175"/>
      <c r="BO32" s="1096"/>
      <c r="BP32" s="1096"/>
      <c r="BQ32" s="1096"/>
      <c r="BR32" s="1096"/>
      <c r="BS32" s="175"/>
    </row>
    <row r="33" spans="1:71" ht="15">
      <c r="A33" s="167" t="s">
        <v>263</v>
      </c>
      <c r="B33" s="826"/>
      <c r="C33" s="874"/>
      <c r="D33" s="874"/>
      <c r="E33" s="874"/>
      <c r="F33" s="874"/>
      <c r="G33" s="874"/>
      <c r="H33" s="874"/>
      <c r="I33" s="874"/>
      <c r="J33" s="874"/>
      <c r="K33" s="874"/>
      <c r="L33" s="874"/>
      <c r="M33" s="874"/>
      <c r="N33" s="874"/>
      <c r="O33" s="874"/>
      <c r="P33" s="874"/>
      <c r="Q33" s="874"/>
      <c r="R33" s="874"/>
      <c r="S33" s="874"/>
      <c r="T33" s="874"/>
      <c r="U33" s="874"/>
      <c r="V33" s="874"/>
      <c r="W33" s="874"/>
      <c r="X33" s="874"/>
      <c r="Y33" s="874"/>
      <c r="Z33" s="874"/>
      <c r="AA33" s="874"/>
      <c r="AB33" s="874"/>
      <c r="AC33" s="874"/>
      <c r="AD33" s="874"/>
      <c r="AE33" s="874"/>
      <c r="AF33" s="874"/>
      <c r="AG33" s="874"/>
      <c r="AH33" s="874"/>
      <c r="AI33" s="874"/>
      <c r="AJ33" s="874"/>
      <c r="AK33" s="874"/>
      <c r="AL33" s="874"/>
      <c r="AM33" s="874"/>
      <c r="AN33" s="874"/>
      <c r="AO33" s="874"/>
      <c r="AP33" s="874"/>
      <c r="AQ33" s="874"/>
      <c r="AR33" s="874"/>
      <c r="AS33" s="874"/>
      <c r="AT33" s="874"/>
      <c r="AU33" s="874"/>
      <c r="AV33" s="874"/>
      <c r="AW33" s="874"/>
      <c r="AX33" s="874"/>
      <c r="AY33" s="874"/>
      <c r="AZ33" s="874"/>
      <c r="BA33" s="874"/>
      <c r="BB33" s="874"/>
      <c r="BC33" s="874"/>
      <c r="BD33" s="874"/>
      <c r="BE33" s="874"/>
      <c r="BF33" s="874"/>
      <c r="BG33" s="874"/>
      <c r="BH33" s="875"/>
      <c r="BI33" s="874"/>
      <c r="BJ33" s="874"/>
      <c r="BK33" s="874"/>
      <c r="BL33" s="874"/>
      <c r="BM33" s="874"/>
      <c r="BN33" s="874"/>
      <c r="BO33" s="874"/>
      <c r="BP33" s="874"/>
      <c r="BQ33" s="874"/>
      <c r="BR33" s="874"/>
      <c r="BS33" s="827"/>
    </row>
    <row r="34" spans="1:71" s="70" customFormat="1" ht="15">
      <c r="A34" s="263" t="str">
        <f>INDEX(MO_II_InvestmentBalance,0,COLUMN())</f>
        <v>Total Investments - Avg. Balance, mm</v>
      </c>
      <c r="B34" s="264"/>
      <c r="C34" s="1096">
        <f t="shared" si="43" ref="C34:AZ34">INDEX(MO_II_InvestmentBalance,0,COLUMN())</f>
        <v>0</v>
      </c>
      <c r="D34" s="1096">
        <f t="shared" si="43"/>
        <v>100158</v>
      </c>
      <c r="E34" s="1096">
        <f t="shared" si="43"/>
        <v>98050.50</v>
      </c>
      <c r="F34" s="1096">
        <f t="shared" si="43"/>
        <v>96448</v>
      </c>
      <c r="G34" s="1096">
        <f t="shared" si="43"/>
        <v>89216.50</v>
      </c>
      <c r="H34" s="175">
        <f t="shared" si="43"/>
        <v>81422.50</v>
      </c>
      <c r="I34" s="175">
        <f t="shared" si="43"/>
        <v>82126.50</v>
      </c>
      <c r="J34" s="175">
        <f t="shared" si="43"/>
        <v>81642</v>
      </c>
      <c r="K34" s="175">
        <f t="shared" si="43"/>
        <v>80917</v>
      </c>
      <c r="L34" s="1096">
        <f t="shared" si="43"/>
        <v>81525.930136986295</v>
      </c>
      <c r="M34" s="175">
        <f t="shared" si="43"/>
        <v>80775</v>
      </c>
      <c r="N34" s="175">
        <f t="shared" si="43"/>
        <v>79789</v>
      </c>
      <c r="O34" s="175">
        <f t="shared" si="43"/>
        <v>78741.50</v>
      </c>
      <c r="P34" s="175">
        <f t="shared" si="43"/>
        <v>78050</v>
      </c>
      <c r="Q34" s="1096">
        <f t="shared" si="43"/>
        <v>79329.772602739729</v>
      </c>
      <c r="R34" s="175">
        <f t="shared" si="43"/>
        <v>78317.50</v>
      </c>
      <c r="S34" s="175">
        <f t="shared" si="43"/>
        <v>79285.50</v>
      </c>
      <c r="T34" s="175">
        <f t="shared" si="43"/>
        <v>80399</v>
      </c>
      <c r="U34" s="175">
        <f t="shared" si="43"/>
        <v>81451.50</v>
      </c>
      <c r="V34" s="1096">
        <f t="shared" si="43"/>
        <v>79869.177595628411</v>
      </c>
      <c r="W34" s="175">
        <f t="shared" si="43"/>
        <v>81471</v>
      </c>
      <c r="X34" s="175">
        <f t="shared" si="43"/>
        <v>81224</v>
      </c>
      <c r="Y34" s="175">
        <f t="shared" si="43"/>
        <v>82038</v>
      </c>
      <c r="Z34" s="175">
        <f t="shared" si="43"/>
        <v>82787</v>
      </c>
      <c r="AA34" s="1096">
        <f t="shared" si="43"/>
        <v>81884.038356164383</v>
      </c>
      <c r="AB34" s="175">
        <f t="shared" si="43"/>
        <v>83046</v>
      </c>
      <c r="AC34" s="175">
        <f t="shared" si="43"/>
        <v>83265</v>
      </c>
      <c r="AD34" s="175">
        <f t="shared" si="43"/>
        <v>83604.50</v>
      </c>
      <c r="AE34" s="175">
        <f t="shared" si="43"/>
        <v>82614</v>
      </c>
      <c r="AF34" s="1096">
        <f t="shared" si="43"/>
        <v>83132.484931506842</v>
      </c>
      <c r="AG34" s="175">
        <f t="shared" si="43"/>
        <v>82690.50</v>
      </c>
      <c r="AH34" s="175">
        <f t="shared" si="43"/>
        <v>85306</v>
      </c>
      <c r="AI34" s="175">
        <f t="shared" si="43"/>
        <v>87899</v>
      </c>
      <c r="AJ34" s="175">
        <f t="shared" si="43"/>
        <v>88834.50</v>
      </c>
      <c r="AK34" s="1096">
        <f t="shared" si="43"/>
        <v>86204.035616438356</v>
      </c>
      <c r="AL34" s="175">
        <f>INDEX(MO_II_InvestmentBalance,0,COLUMN())</f>
        <v>86602</v>
      </c>
      <c r="AM34" s="175">
        <f>INDEX(MO_II_InvestmentBalance,0,COLUMN())</f>
        <v>87239.50</v>
      </c>
      <c r="AN34" s="175">
        <f>INDEX(MO_II_InvestmentBalance,0,COLUMN())</f>
        <v>90417</v>
      </c>
      <c r="AO34" s="175">
        <f t="shared" si="43"/>
        <v>92717</v>
      </c>
      <c r="AP34" s="1096">
        <f t="shared" si="43"/>
        <v>89256.569672131154</v>
      </c>
      <c r="AQ34" s="175">
        <f>INDEX(MO_II_InvestmentBalance,0,COLUMN())</f>
        <v>77156.50</v>
      </c>
      <c r="AR34" s="175">
        <f>INDEX(MO_II_InvestmentBalance,0,COLUMN())</f>
        <v>61323</v>
      </c>
      <c r="AS34" s="175">
        <f>INDEX(MO_II_InvestmentBalance,0,COLUMN())</f>
        <v>62205</v>
      </c>
      <c r="AT34" s="175">
        <f t="shared" si="43"/>
        <v>63270.50</v>
      </c>
      <c r="AU34" s="1096">
        <f t="shared" si="43"/>
        <v>65940.339726027392</v>
      </c>
      <c r="AV34" s="175">
        <f>INDEX(MO_II_InvestmentBalance,0,COLUMN())</f>
        <v>63234.50</v>
      </c>
      <c r="AW34" s="175">
        <f>INDEX(MO_II_InvestmentBalance,0,COLUMN())</f>
        <v>61411.50</v>
      </c>
      <c r="AX34" s="175">
        <f>INDEX(MO_II_InvestmentBalance,0,COLUMN())</f>
        <v>61030.50</v>
      </c>
      <c r="AY34" s="175">
        <f t="shared" si="43"/>
        <v>61417.50</v>
      </c>
      <c r="AZ34" s="1096">
        <f t="shared" si="43"/>
        <v>61766.486301369863</v>
      </c>
      <c r="BA34" s="175">
        <f>INDEX(MO_II_InvestmentBalance,0,COLUMN())</f>
        <v>62652</v>
      </c>
      <c r="BB34" s="175">
        <f>INDEX(MO_II_InvestmentBalance,0,COLUMN())</f>
        <v>63571.50</v>
      </c>
      <c r="BC34" s="175">
        <f>INDEX(MO_II_InvestmentBalance,0,COLUMN())</f>
        <v>63513.50</v>
      </c>
      <c r="BD34" s="175">
        <f>INDEX(MO_II_InvestmentBalance,0,COLUMN())</f>
        <v>65018</v>
      </c>
      <c r="BE34" s="1096">
        <f>INDEX(MO_II_InvestmentBalance,0,COLUMN())</f>
        <v>63694.752054794524</v>
      </c>
      <c r="BF34" s="175">
        <f t="shared" si="44" ref="BF34:BJ34">INDEX(MO_II_InvestmentBalance,0,COLUMN())</f>
        <v>67268</v>
      </c>
      <c r="BG34" s="175">
        <f t="shared" si="44"/>
        <v>69231.50</v>
      </c>
      <c r="BH34" s="778">
        <f>INDEX(MO_II_InvestmentBalance,0,COLUMN())</f>
        <v>72103</v>
      </c>
      <c r="BI34" s="175">
        <f t="shared" si="44"/>
        <v>68939.220000000001</v>
      </c>
      <c r="BJ34" s="1096">
        <f t="shared" si="44"/>
        <v>69391.635901639354</v>
      </c>
      <c r="BK34" s="175">
        <f t="shared" si="45" ref="BK34:BR34">INDEX(MO_II_InvestmentBalance,0,COLUMN())</f>
        <v>66487.205000000002</v>
      </c>
      <c r="BL34" s="175">
        <f t="shared" si="45"/>
        <v>68210.770000000004</v>
      </c>
      <c r="BM34" s="175">
        <f t="shared" si="45"/>
        <v>69745.889999999999</v>
      </c>
      <c r="BN34" s="175">
        <f t="shared" si="45"/>
        <v>67012.929399999994</v>
      </c>
      <c r="BO34" s="1096">
        <f t="shared" si="45"/>
        <v>67870.794259726026</v>
      </c>
      <c r="BP34" s="1096">
        <f t="shared" si="45"/>
        <v>62616.836567999999</v>
      </c>
      <c r="BQ34" s="1096">
        <f t="shared" si="45"/>
        <v>63360.264848159997</v>
      </c>
      <c r="BR34" s="1096">
        <f t="shared" si="45"/>
        <v>64156.457746531203</v>
      </c>
      <c r="BS34" s="175"/>
    </row>
    <row r="35" spans="1:71" s="66" customFormat="1" ht="15">
      <c r="A35" s="259"/>
      <c r="B35" s="260"/>
      <c r="C35" s="1100"/>
      <c r="D35" s="1100"/>
      <c r="E35" s="1100"/>
      <c r="F35" s="1100"/>
      <c r="G35" s="1100"/>
      <c r="H35" s="880"/>
      <c r="I35" s="880"/>
      <c r="J35" s="880"/>
      <c r="K35" s="880"/>
      <c r="L35" s="1100"/>
      <c r="M35" s="880"/>
      <c r="N35" s="880"/>
      <c r="O35" s="880"/>
      <c r="P35" s="880"/>
      <c r="Q35" s="1100"/>
      <c r="R35" s="880"/>
      <c r="S35" s="880"/>
      <c r="T35" s="880"/>
      <c r="U35" s="880"/>
      <c r="V35" s="1100"/>
      <c r="W35" s="880"/>
      <c r="X35" s="880"/>
      <c r="Y35" s="880"/>
      <c r="Z35" s="880"/>
      <c r="AA35" s="1100"/>
      <c r="AB35" s="880"/>
      <c r="AC35" s="880"/>
      <c r="AD35" s="880"/>
      <c r="AE35" s="880"/>
      <c r="AF35" s="1100"/>
      <c r="AG35" s="880"/>
      <c r="AH35" s="880"/>
      <c r="AI35" s="880"/>
      <c r="AJ35" s="880"/>
      <c r="AK35" s="1100"/>
      <c r="AL35" s="880"/>
      <c r="AM35" s="880"/>
      <c r="AN35" s="880"/>
      <c r="AO35" s="880"/>
      <c r="AP35" s="1100"/>
      <c r="AQ35" s="880"/>
      <c r="AR35" s="880"/>
      <c r="AS35" s="880"/>
      <c r="AT35" s="880"/>
      <c r="AU35" s="1100"/>
      <c r="AV35" s="880"/>
      <c r="AW35" s="880"/>
      <c r="AX35" s="880"/>
      <c r="AY35" s="880"/>
      <c r="AZ35" s="1100"/>
      <c r="BA35" s="880"/>
      <c r="BB35" s="880"/>
      <c r="BC35" s="880"/>
      <c r="BD35" s="880"/>
      <c r="BE35" s="1100"/>
      <c r="BF35" s="880"/>
      <c r="BG35" s="880"/>
      <c r="BH35" s="881"/>
      <c r="BI35" s="880"/>
      <c r="BJ35" s="1100"/>
      <c r="BK35" s="880"/>
      <c r="BL35" s="880"/>
      <c r="BM35" s="880"/>
      <c r="BN35" s="880"/>
      <c r="BO35" s="1100"/>
      <c r="BP35" s="1100"/>
      <c r="BQ35" s="1100"/>
      <c r="BR35" s="1100"/>
      <c r="BS35" s="828"/>
    </row>
    <row r="36" spans="1:71" s="70" customFormat="1" ht="15">
      <c r="A36" s="263" t="str">
        <f>INDEX(MO_II_NetII,0,COLUMN())</f>
        <v>Net Investment Income, mm</v>
      </c>
      <c r="B36" s="264"/>
      <c r="C36" s="1096">
        <f t="shared" si="46" ref="C36:AZ36">INDEX(MO_II_NetII,0,COLUMN())</f>
        <v>4444</v>
      </c>
      <c r="D36" s="1096">
        <f t="shared" si="46"/>
        <v>4102</v>
      </c>
      <c r="E36" s="1096">
        <f t="shared" si="46"/>
        <v>3971</v>
      </c>
      <c r="F36" s="1096">
        <f t="shared" si="46"/>
        <v>4010</v>
      </c>
      <c r="G36" s="1096">
        <f t="shared" si="46"/>
        <v>3943</v>
      </c>
      <c r="H36" s="175">
        <f t="shared" si="46"/>
        <v>959</v>
      </c>
      <c r="I36" s="175">
        <f t="shared" si="46"/>
        <v>898</v>
      </c>
      <c r="J36" s="175">
        <f t="shared" si="46"/>
        <v>823</v>
      </c>
      <c r="K36" s="175">
        <f t="shared" si="46"/>
        <v>779</v>
      </c>
      <c r="L36" s="1096">
        <f t="shared" si="46"/>
        <v>3459</v>
      </c>
      <c r="M36" s="175">
        <f t="shared" si="46"/>
        <v>850</v>
      </c>
      <c r="N36" s="175">
        <f t="shared" si="46"/>
        <v>789</v>
      </c>
      <c r="O36" s="175">
        <f t="shared" si="46"/>
        <v>807</v>
      </c>
      <c r="P36" s="175">
        <f t="shared" si="46"/>
        <v>710</v>
      </c>
      <c r="Q36" s="1096">
        <f t="shared" si="46"/>
        <v>3156</v>
      </c>
      <c r="R36" s="175">
        <f t="shared" si="46"/>
        <v>731</v>
      </c>
      <c r="S36" s="175">
        <f t="shared" si="46"/>
        <v>762</v>
      </c>
      <c r="T36" s="175">
        <f t="shared" si="46"/>
        <v>748</v>
      </c>
      <c r="U36" s="175">
        <f t="shared" si="46"/>
        <v>801</v>
      </c>
      <c r="V36" s="1096">
        <f t="shared" si="46"/>
        <v>3042</v>
      </c>
      <c r="W36" s="175">
        <f t="shared" si="46"/>
        <v>748</v>
      </c>
      <c r="X36" s="175">
        <f t="shared" si="46"/>
        <v>897</v>
      </c>
      <c r="Y36" s="175">
        <f t="shared" si="46"/>
        <v>843</v>
      </c>
      <c r="Z36" s="175">
        <f t="shared" si="46"/>
        <v>913</v>
      </c>
      <c r="AA36" s="1096">
        <f t="shared" si="46"/>
        <v>3401</v>
      </c>
      <c r="AB36" s="175">
        <f t="shared" si="46"/>
        <v>786</v>
      </c>
      <c r="AC36" s="175">
        <f t="shared" si="46"/>
        <v>824</v>
      </c>
      <c r="AD36" s="175">
        <f t="shared" si="46"/>
        <v>844</v>
      </c>
      <c r="AE36" s="175">
        <f t="shared" si="46"/>
        <v>786</v>
      </c>
      <c r="AF36" s="1096">
        <f t="shared" si="46"/>
        <v>3240</v>
      </c>
      <c r="AG36" s="175">
        <f t="shared" si="46"/>
        <v>648</v>
      </c>
      <c r="AH36" s="175">
        <f t="shared" si="46"/>
        <v>942</v>
      </c>
      <c r="AI36" s="175">
        <f t="shared" si="46"/>
        <v>880</v>
      </c>
      <c r="AJ36" s="175">
        <f t="shared" si="46"/>
        <v>689</v>
      </c>
      <c r="AK36" s="1096">
        <f t="shared" si="46"/>
        <v>3159</v>
      </c>
      <c r="AL36" s="175">
        <f>INDEX(MO_II_NetII,0,COLUMN())</f>
        <v>246</v>
      </c>
      <c r="AM36" s="175">
        <f>INDEX(MO_II_NetII,0,COLUMN())</f>
        <v>220</v>
      </c>
      <c r="AN36" s="175">
        <f>INDEX(MO_II_NetII,0,COLUMN())</f>
        <v>464</v>
      </c>
      <c r="AO36" s="175">
        <f t="shared" si="46"/>
        <v>660</v>
      </c>
      <c r="AP36" s="1096">
        <f t="shared" si="46"/>
        <v>1590</v>
      </c>
      <c r="AQ36" s="175">
        <f>INDEX(MO_II_NetII,0,COLUMN())</f>
        <v>708</v>
      </c>
      <c r="AR36" s="175">
        <f>INDEX(MO_II_NetII,0,COLUMN())</f>
        <v>974</v>
      </c>
      <c r="AS36" s="175">
        <f>INDEX(MO_II_NetII,0,COLUMN())</f>
        <v>764</v>
      </c>
      <c r="AT36" s="175">
        <f t="shared" si="46"/>
        <v>847</v>
      </c>
      <c r="AU36" s="1096">
        <f t="shared" si="46"/>
        <v>3293</v>
      </c>
      <c r="AV36" s="175">
        <f>INDEX(MO_II_NetII,0,COLUMN())</f>
        <v>594</v>
      </c>
      <c r="AW36" s="175">
        <f>INDEX(MO_II_NetII,0,COLUMN())</f>
        <v>562</v>
      </c>
      <c r="AX36" s="175">
        <f>INDEX(MO_II_NetII,0,COLUMN())</f>
        <v>690</v>
      </c>
      <c r="AY36" s="175">
        <f t="shared" si="46"/>
        <v>557</v>
      </c>
      <c r="AZ36" s="1096">
        <f t="shared" si="46"/>
        <v>2403</v>
      </c>
      <c r="BA36" s="175">
        <f>INDEX(MO_II_NetII,0,COLUMN())</f>
        <v>575</v>
      </c>
      <c r="BB36" s="175">
        <f>INDEX(MO_II_NetII,0,COLUMN())</f>
        <v>610</v>
      </c>
      <c r="BC36" s="175">
        <f>INDEX(MO_II_NetII,0,COLUMN())</f>
        <v>689</v>
      </c>
      <c r="BD36" s="175">
        <f>INDEX(MO_II_NetII,0,COLUMN())</f>
        <v>604</v>
      </c>
      <c r="BE36" s="1096">
        <f>INDEX(MO_II_NetII,0,COLUMN())</f>
        <v>2478</v>
      </c>
      <c r="BF36" s="175">
        <f t="shared" si="47" ref="BF36:BJ36">INDEX(MO_II_NetII,0,COLUMN())</f>
        <v>764</v>
      </c>
      <c r="BG36" s="175">
        <f t="shared" si="47"/>
        <v>712</v>
      </c>
      <c r="BH36" s="778">
        <f>INDEX(MO_II_NetII,0,COLUMN())</f>
        <v>783</v>
      </c>
      <c r="BI36" s="175">
        <f t="shared" si="47"/>
        <v>651.73806972677585</v>
      </c>
      <c r="BJ36" s="1096">
        <f t="shared" si="47"/>
        <v>2910.7380697267758</v>
      </c>
      <c r="BK36" s="175">
        <f t="shared" si="48" ref="BK36:BR36">INDEX(MO_II_NetII,0,COLUMN())</f>
        <v>616.86650835616433</v>
      </c>
      <c r="BL36" s="175">
        <f t="shared" si="48"/>
        <v>640.07192689041096</v>
      </c>
      <c r="BM36" s="175">
        <f t="shared" si="48"/>
        <v>661.17964016438361</v>
      </c>
      <c r="BN36" s="175">
        <f t="shared" si="48"/>
        <v>634.88533446136989</v>
      </c>
      <c r="BO36" s="1096">
        <f t="shared" si="48"/>
        <v>2553.003409872329</v>
      </c>
      <c r="BP36" s="1096">
        <f t="shared" si="48"/>
        <v>2353.7553568439998</v>
      </c>
      <c r="BQ36" s="1096">
        <f t="shared" si="48"/>
        <v>2381.6766859792801</v>
      </c>
      <c r="BR36" s="1096">
        <f t="shared" si="48"/>
        <v>2411.3505328736496</v>
      </c>
      <c r="BS36" s="175"/>
    </row>
    <row r="37" spans="1:71" s="66" customFormat="1" ht="15">
      <c r="A37" s="259"/>
      <c r="B37" s="260"/>
      <c r="C37" s="1100"/>
      <c r="D37" s="1100"/>
      <c r="E37" s="1100"/>
      <c r="F37" s="1100"/>
      <c r="G37" s="1100"/>
      <c r="H37" s="880"/>
      <c r="I37" s="880"/>
      <c r="J37" s="880"/>
      <c r="K37" s="880"/>
      <c r="L37" s="1100"/>
      <c r="M37" s="880"/>
      <c r="N37" s="880"/>
      <c r="O37" s="880"/>
      <c r="P37" s="880"/>
      <c r="Q37" s="1100"/>
      <c r="R37" s="880"/>
      <c r="S37" s="880"/>
      <c r="T37" s="880"/>
      <c r="U37" s="880"/>
      <c r="V37" s="1100"/>
      <c r="W37" s="880"/>
      <c r="X37" s="880"/>
      <c r="Y37" s="880"/>
      <c r="Z37" s="880"/>
      <c r="AA37" s="1100"/>
      <c r="AB37" s="880"/>
      <c r="AC37" s="880"/>
      <c r="AD37" s="880"/>
      <c r="AE37" s="880"/>
      <c r="AF37" s="1100"/>
      <c r="AG37" s="880"/>
      <c r="AH37" s="880"/>
      <c r="AI37" s="880"/>
      <c r="AJ37" s="880"/>
      <c r="AK37" s="1100"/>
      <c r="AL37" s="880"/>
      <c r="AM37" s="880"/>
      <c r="AN37" s="880"/>
      <c r="AO37" s="880"/>
      <c r="AP37" s="1100"/>
      <c r="AQ37" s="880"/>
      <c r="AR37" s="880"/>
      <c r="AS37" s="880"/>
      <c r="AT37" s="880"/>
      <c r="AU37" s="1100"/>
      <c r="AV37" s="880"/>
      <c r="AW37" s="880"/>
      <c r="AX37" s="880"/>
      <c r="AY37" s="880"/>
      <c r="AZ37" s="1100"/>
      <c r="BA37" s="880"/>
      <c r="BB37" s="880"/>
      <c r="BC37" s="880"/>
      <c r="BD37" s="880"/>
      <c r="BE37" s="1100"/>
      <c r="BF37" s="880"/>
      <c r="BG37" s="880"/>
      <c r="BH37" s="881"/>
      <c r="BI37" s="880"/>
      <c r="BJ37" s="1100"/>
      <c r="BK37" s="880"/>
      <c r="BL37" s="880"/>
      <c r="BM37" s="880"/>
      <c r="BN37" s="880"/>
      <c r="BO37" s="1100"/>
      <c r="BP37" s="1100"/>
      <c r="BQ37" s="1100"/>
      <c r="BR37" s="1100"/>
      <c r="BS37" s="828"/>
    </row>
    <row r="38" spans="1:71" s="67" customFormat="1" ht="15">
      <c r="A38" s="258" t="str">
        <f>INDEX(MO_II_NetIG,0,COLUMN())</f>
        <v>Net Investment Gains, mm</v>
      </c>
      <c r="B38" s="265"/>
      <c r="C38" s="1096">
        <f t="shared" si="49" ref="C38:AZ38">INDEX(MO_II_NetIG,0,COLUMN())</f>
        <v>-583</v>
      </c>
      <c r="D38" s="1096">
        <f t="shared" si="49"/>
        <v>-827</v>
      </c>
      <c r="E38" s="1096">
        <f t="shared" si="49"/>
        <v>503</v>
      </c>
      <c r="F38" s="1096">
        <f t="shared" si="49"/>
        <v>327</v>
      </c>
      <c r="G38" s="1096">
        <f t="shared" si="49"/>
        <v>594</v>
      </c>
      <c r="H38" s="175">
        <f t="shared" si="49"/>
        <v>54</v>
      </c>
      <c r="I38" s="175">
        <f t="shared" si="49"/>
        <v>240</v>
      </c>
      <c r="J38" s="175">
        <f t="shared" si="49"/>
        <v>294</v>
      </c>
      <c r="K38" s="175">
        <f t="shared" si="49"/>
        <v>106</v>
      </c>
      <c r="L38" s="1096">
        <f t="shared" si="49"/>
        <v>694</v>
      </c>
      <c r="M38" s="175">
        <f t="shared" si="49"/>
        <v>139</v>
      </c>
      <c r="N38" s="175">
        <f t="shared" si="49"/>
        <v>108</v>
      </c>
      <c r="O38" s="175">
        <f t="shared" si="49"/>
        <v>33</v>
      </c>
      <c r="P38" s="175">
        <f t="shared" si="49"/>
        <v>-250</v>
      </c>
      <c r="Q38" s="1096">
        <f t="shared" si="49"/>
        <v>30</v>
      </c>
      <c r="R38" s="175">
        <f t="shared" si="49"/>
        <v>-149</v>
      </c>
      <c r="S38" s="175">
        <f t="shared" si="49"/>
        <v>24</v>
      </c>
      <c r="T38" s="175">
        <f t="shared" si="49"/>
        <v>33</v>
      </c>
      <c r="U38" s="175">
        <f t="shared" si="49"/>
        <v>2</v>
      </c>
      <c r="V38" s="1096">
        <f t="shared" si="49"/>
        <v>-90</v>
      </c>
      <c r="W38" s="175">
        <f t="shared" si="49"/>
        <v>134</v>
      </c>
      <c r="X38" s="175">
        <f t="shared" si="49"/>
        <v>81</v>
      </c>
      <c r="Y38" s="175">
        <f t="shared" si="49"/>
        <v>103</v>
      </c>
      <c r="Z38" s="175">
        <f t="shared" si="49"/>
        <v>127</v>
      </c>
      <c r="AA38" s="1096">
        <f t="shared" si="49"/>
        <v>445</v>
      </c>
      <c r="AB38" s="175">
        <f t="shared" si="49"/>
        <v>-134</v>
      </c>
      <c r="AC38" s="175">
        <f t="shared" si="49"/>
        <v>-25</v>
      </c>
      <c r="AD38" s="175">
        <f t="shared" si="49"/>
        <v>176</v>
      </c>
      <c r="AE38" s="175">
        <f t="shared" si="49"/>
        <v>-894</v>
      </c>
      <c r="AF38" s="1096">
        <f t="shared" si="49"/>
        <v>-877</v>
      </c>
      <c r="AG38" s="175">
        <f t="shared" si="49"/>
        <v>662</v>
      </c>
      <c r="AH38" s="175">
        <f t="shared" si="49"/>
        <v>324</v>
      </c>
      <c r="AI38" s="175">
        <f t="shared" si="49"/>
        <v>197</v>
      </c>
      <c r="AJ38" s="175">
        <f t="shared" si="49"/>
        <v>702</v>
      </c>
      <c r="AK38" s="1096">
        <f t="shared" si="49"/>
        <v>1885</v>
      </c>
      <c r="AL38" s="175">
        <f>INDEX(MO_II_NetIG,0,COLUMN())</f>
        <v>-162</v>
      </c>
      <c r="AM38" s="175">
        <f>INDEX(MO_II_NetIG,0,COLUMN())</f>
        <v>440</v>
      </c>
      <c r="AN38" s="175">
        <f>INDEX(MO_II_NetIG,0,COLUMN())</f>
        <v>319</v>
      </c>
      <c r="AO38" s="175">
        <f t="shared" si="49"/>
        <v>490</v>
      </c>
      <c r="AP38" s="1096">
        <f t="shared" si="49"/>
        <v>1087</v>
      </c>
      <c r="AQ38" s="175">
        <f>INDEX(MO_II_NetIG,0,COLUMN())</f>
        <v>426</v>
      </c>
      <c r="AR38" s="175">
        <f>INDEX(MO_II_NetIG,0,COLUMN())</f>
        <v>287</v>
      </c>
      <c r="AS38" s="175">
        <f>INDEX(MO_II_NetIG,0,COLUMN())</f>
        <v>105</v>
      </c>
      <c r="AT38" s="175">
        <f t="shared" si="49"/>
        <v>266</v>
      </c>
      <c r="AU38" s="1096">
        <f t="shared" si="49"/>
        <v>1084</v>
      </c>
      <c r="AV38" s="175">
        <f>INDEX(MO_II_NetIG,0,COLUMN())</f>
        <v>-267</v>
      </c>
      <c r="AW38" s="175">
        <f>INDEX(MO_II_NetIG,0,COLUMN())</f>
        <v>-733</v>
      </c>
      <c r="AX38" s="175">
        <f>INDEX(MO_II_NetIG,0,COLUMN())</f>
        <v>-167</v>
      </c>
      <c r="AY38" s="175">
        <f t="shared" si="49"/>
        <v>95</v>
      </c>
      <c r="AZ38" s="1096">
        <f t="shared" si="49"/>
        <v>-1072</v>
      </c>
      <c r="BA38" s="175">
        <f>INDEX(MO_II_NetIG,0,COLUMN())</f>
        <v>14</v>
      </c>
      <c r="BB38" s="175">
        <f>INDEX(MO_II_NetIG,0,COLUMN())</f>
        <v>-151</v>
      </c>
      <c r="BC38" s="175">
        <f>INDEX(MO_II_NetIG,0,COLUMN())</f>
        <v>-86</v>
      </c>
      <c r="BD38" s="175">
        <f>INDEX(MO_II_NetIG,0,COLUMN())</f>
        <v>-77</v>
      </c>
      <c r="BE38" s="1096">
        <f>INDEX(MO_II_NetIG,0,COLUMN())</f>
        <v>-300</v>
      </c>
      <c r="BF38" s="175">
        <f t="shared" si="50" ref="BF38:BJ38">INDEX(MO_II_NetIG,0,COLUMN())</f>
        <v>-164</v>
      </c>
      <c r="BG38" s="175">
        <f t="shared" si="50"/>
        <v>-103</v>
      </c>
      <c r="BH38" s="778">
        <f>INDEX(MO_II_NetIG,0,COLUMN())</f>
        <v>243</v>
      </c>
      <c r="BI38" s="175">
        <f t="shared" si="50"/>
        <v>57</v>
      </c>
      <c r="BJ38" s="1096">
        <f t="shared" si="50"/>
        <v>33</v>
      </c>
      <c r="BK38" s="175">
        <f t="shared" si="51" ref="BK38:BR38">INDEX(MO_II_NetIG,0,COLUMN())</f>
        <v>57</v>
      </c>
      <c r="BL38" s="175">
        <f t="shared" si="51"/>
        <v>57</v>
      </c>
      <c r="BM38" s="175">
        <f t="shared" si="51"/>
        <v>57</v>
      </c>
      <c r="BN38" s="175">
        <f t="shared" si="51"/>
        <v>57</v>
      </c>
      <c r="BO38" s="1096">
        <f t="shared" si="51"/>
        <v>228</v>
      </c>
      <c r="BP38" s="1096">
        <f t="shared" si="51"/>
        <v>228</v>
      </c>
      <c r="BQ38" s="1096">
        <f t="shared" si="51"/>
        <v>228</v>
      </c>
      <c r="BR38" s="1096">
        <f t="shared" si="51"/>
        <v>228</v>
      </c>
      <c r="BS38" s="827"/>
    </row>
    <row r="39" spans="1:71" s="72" customFormat="1" ht="15">
      <c r="A39" s="275"/>
      <c r="B39" s="276"/>
      <c r="C39" s="1104"/>
      <c r="D39" s="1104"/>
      <c r="E39" s="1104"/>
      <c r="F39" s="1104"/>
      <c r="G39" s="1104"/>
      <c r="H39" s="185"/>
      <c r="I39" s="185"/>
      <c r="J39" s="185"/>
      <c r="K39" s="185"/>
      <c r="L39" s="1104"/>
      <c r="M39" s="185"/>
      <c r="N39" s="185"/>
      <c r="O39" s="185"/>
      <c r="P39" s="185"/>
      <c r="Q39" s="1104"/>
      <c r="R39" s="185"/>
      <c r="S39" s="185"/>
      <c r="T39" s="185"/>
      <c r="U39" s="185"/>
      <c r="V39" s="1104"/>
      <c r="W39" s="185"/>
      <c r="X39" s="185"/>
      <c r="Y39" s="185"/>
      <c r="Z39" s="185"/>
      <c r="AA39" s="1104"/>
      <c r="AB39" s="185"/>
      <c r="AC39" s="185"/>
      <c r="AD39" s="185"/>
      <c r="AE39" s="185"/>
      <c r="AF39" s="1104"/>
      <c r="AG39" s="185"/>
      <c r="AH39" s="185"/>
      <c r="AI39" s="185"/>
      <c r="AJ39" s="185"/>
      <c r="AK39" s="1104"/>
      <c r="AL39" s="185"/>
      <c r="AM39" s="185"/>
      <c r="AN39" s="185"/>
      <c r="AO39" s="185"/>
      <c r="AP39" s="1104"/>
      <c r="AQ39" s="185"/>
      <c r="AR39" s="185"/>
      <c r="AS39" s="185"/>
      <c r="AT39" s="185"/>
      <c r="AU39" s="1104"/>
      <c r="AV39" s="185"/>
      <c r="AW39" s="185"/>
      <c r="AX39" s="185"/>
      <c r="AY39" s="185"/>
      <c r="AZ39" s="1104"/>
      <c r="BA39" s="185"/>
      <c r="BB39" s="185"/>
      <c r="BC39" s="185"/>
      <c r="BD39" s="185"/>
      <c r="BE39" s="1104"/>
      <c r="BF39" s="185"/>
      <c r="BG39" s="185"/>
      <c r="BH39" s="784"/>
      <c r="BI39" s="185"/>
      <c r="BJ39" s="1104"/>
      <c r="BK39" s="185"/>
      <c r="BL39" s="185"/>
      <c r="BM39" s="185"/>
      <c r="BN39" s="185"/>
      <c r="BO39" s="1104"/>
      <c r="BP39" s="1104"/>
      <c r="BQ39" s="1104"/>
      <c r="BR39" s="1104"/>
      <c r="BS39" s="185"/>
    </row>
    <row r="40" spans="1:71" ht="15">
      <c r="A40" s="167" t="s">
        <v>264</v>
      </c>
      <c r="B40" s="826"/>
      <c r="C40" s="874"/>
      <c r="D40" s="874"/>
      <c r="E40" s="874"/>
      <c r="F40" s="874"/>
      <c r="G40" s="874"/>
      <c r="H40" s="874"/>
      <c r="I40" s="874"/>
      <c r="J40" s="874"/>
      <c r="K40" s="874"/>
      <c r="L40" s="874"/>
      <c r="M40" s="874"/>
      <c r="N40" s="874"/>
      <c r="O40" s="874"/>
      <c r="P40" s="874"/>
      <c r="Q40" s="874"/>
      <c r="R40" s="874"/>
      <c r="S40" s="874"/>
      <c r="T40" s="874"/>
      <c r="U40" s="874"/>
      <c r="V40" s="874"/>
      <c r="W40" s="874"/>
      <c r="X40" s="874"/>
      <c r="Y40" s="874"/>
      <c r="Z40" s="874"/>
      <c r="AA40" s="874"/>
      <c r="AB40" s="874"/>
      <c r="AC40" s="874"/>
      <c r="AD40" s="874"/>
      <c r="AE40" s="874"/>
      <c r="AF40" s="874"/>
      <c r="AG40" s="874"/>
      <c r="AH40" s="874"/>
      <c r="AI40" s="874"/>
      <c r="AJ40" s="874"/>
      <c r="AK40" s="874"/>
      <c r="AL40" s="874"/>
      <c r="AM40" s="874"/>
      <c r="AN40" s="874"/>
      <c r="AO40" s="874"/>
      <c r="AP40" s="874"/>
      <c r="AQ40" s="874"/>
      <c r="AR40" s="874"/>
      <c r="AS40" s="874"/>
      <c r="AT40" s="874"/>
      <c r="AU40" s="874"/>
      <c r="AV40" s="874"/>
      <c r="AW40" s="874"/>
      <c r="AX40" s="874"/>
      <c r="AY40" s="874"/>
      <c r="AZ40" s="874"/>
      <c r="BA40" s="874"/>
      <c r="BB40" s="874"/>
      <c r="BC40" s="874"/>
      <c r="BD40" s="874"/>
      <c r="BE40" s="874"/>
      <c r="BF40" s="874"/>
      <c r="BG40" s="874"/>
      <c r="BH40" s="875"/>
      <c r="BI40" s="874"/>
      <c r="BJ40" s="874"/>
      <c r="BK40" s="874"/>
      <c r="BL40" s="874"/>
      <c r="BM40" s="874"/>
      <c r="BN40" s="874"/>
      <c r="BO40" s="874"/>
      <c r="BP40" s="874"/>
      <c r="BQ40" s="874"/>
      <c r="BR40" s="874"/>
      <c r="BS40" s="827"/>
    </row>
    <row r="41" spans="1:71" s="427" customFormat="1" ht="15">
      <c r="A41" s="266" t="str">
        <f>INDEX(MO_RIS_NEP,0,COLUMN())</f>
        <v>Net Earned Premiums</v>
      </c>
      <c r="B41" s="267"/>
      <c r="C41" s="1097">
        <f t="shared" si="52" ref="C41:AZ41">INDEX(MO_RIS_NEP,0,COLUMN())</f>
        <v>28152</v>
      </c>
      <c r="D41" s="1097">
        <f t="shared" si="52"/>
        <v>28125</v>
      </c>
      <c r="E41" s="1097">
        <f t="shared" si="52"/>
        <v>28180</v>
      </c>
      <c r="F41" s="1097">
        <f t="shared" si="52"/>
        <v>28978</v>
      </c>
      <c r="G41" s="1097">
        <f t="shared" si="52"/>
        <v>29970</v>
      </c>
      <c r="H41" s="177">
        <f t="shared" si="52"/>
        <v>7671</v>
      </c>
      <c r="I41" s="177">
        <f t="shared" si="52"/>
        <v>7722</v>
      </c>
      <c r="J41" s="177">
        <f t="shared" si="52"/>
        <v>7819</v>
      </c>
      <c r="K41" s="177">
        <f t="shared" si="52"/>
        <v>7874</v>
      </c>
      <c r="L41" s="1097">
        <f t="shared" si="52"/>
        <v>31086</v>
      </c>
      <c r="M41" s="177">
        <f t="shared" si="52"/>
        <v>7963</v>
      </c>
      <c r="N41" s="177">
        <f t="shared" si="52"/>
        <v>8085</v>
      </c>
      <c r="O41" s="177">
        <f t="shared" si="52"/>
        <v>8188</v>
      </c>
      <c r="P41" s="177">
        <f t="shared" si="52"/>
        <v>8231</v>
      </c>
      <c r="Q41" s="1097">
        <f t="shared" si="52"/>
        <v>32467</v>
      </c>
      <c r="R41" s="177">
        <f t="shared" si="52"/>
        <v>8289</v>
      </c>
      <c r="S41" s="177">
        <f t="shared" si="52"/>
        <v>8378</v>
      </c>
      <c r="T41" s="177">
        <f t="shared" si="52"/>
        <v>8440</v>
      </c>
      <c r="U41" s="177">
        <f t="shared" si="52"/>
        <v>8475</v>
      </c>
      <c r="V41" s="1097">
        <f t="shared" si="52"/>
        <v>33582</v>
      </c>
      <c r="W41" s="177">
        <f t="shared" si="52"/>
        <v>8552</v>
      </c>
      <c r="X41" s="177">
        <f t="shared" si="52"/>
        <v>8609</v>
      </c>
      <c r="Y41" s="177">
        <f t="shared" si="52"/>
        <v>8714</v>
      </c>
      <c r="Z41" s="177">
        <f t="shared" si="52"/>
        <v>8803</v>
      </c>
      <c r="AA41" s="1097">
        <f t="shared" si="52"/>
        <v>34678</v>
      </c>
      <c r="AB41" s="177">
        <f t="shared" si="52"/>
        <v>8902</v>
      </c>
      <c r="AC41" s="177">
        <f t="shared" si="52"/>
        <v>9072</v>
      </c>
      <c r="AD41" s="177">
        <f t="shared" si="52"/>
        <v>9207</v>
      </c>
      <c r="AE41" s="177">
        <f t="shared" si="52"/>
        <v>9332</v>
      </c>
      <c r="AF41" s="1097">
        <f t="shared" si="52"/>
        <v>36513</v>
      </c>
      <c r="AG41" s="177">
        <f t="shared" si="52"/>
        <v>9430</v>
      </c>
      <c r="AH41" s="177">
        <f t="shared" si="52"/>
        <v>9607</v>
      </c>
      <c r="AI41" s="177">
        <f t="shared" si="52"/>
        <v>9719</v>
      </c>
      <c r="AJ41" s="177">
        <f t="shared" si="52"/>
        <v>9821</v>
      </c>
      <c r="AK41" s="1097">
        <f t="shared" si="52"/>
        <v>38577</v>
      </c>
      <c r="AL41" s="177">
        <f>INDEX(MO_RIS_NEP,0,COLUMN())</f>
        <v>9517</v>
      </c>
      <c r="AM41" s="177">
        <f>INDEX(MO_RIS_NEP,0,COLUMN())</f>
        <v>9486</v>
      </c>
      <c r="AN41" s="177">
        <f>INDEX(MO_RIS_NEP,0,COLUMN())</f>
        <v>9623</v>
      </c>
      <c r="AO41" s="177">
        <f t="shared" si="52"/>
        <v>9541</v>
      </c>
      <c r="AP41" s="1097">
        <f t="shared" si="52"/>
        <v>38167</v>
      </c>
      <c r="AQ41" s="177">
        <f>INDEX(MO_RIS_NEP,0,COLUMN())</f>
        <v>10762</v>
      </c>
      <c r="AR41" s="177">
        <f>INDEX(MO_RIS_NEP,0,COLUMN())</f>
        <v>10891</v>
      </c>
      <c r="AS41" s="177">
        <f>INDEX(MO_RIS_NEP,0,COLUMN())</f>
        <v>11075</v>
      </c>
      <c r="AT41" s="177">
        <f t="shared" si="52"/>
        <v>11311</v>
      </c>
      <c r="AU41" s="1097">
        <f t="shared" si="52"/>
        <v>44039</v>
      </c>
      <c r="AV41" s="177">
        <f>INDEX(MO_RIS_NEP,0,COLUMN())</f>
        <v>11449</v>
      </c>
      <c r="AW41" s="177">
        <f>INDEX(MO_RIS_NEP,0,COLUMN())</f>
        <v>11827</v>
      </c>
      <c r="AX41" s="177">
        <f>INDEX(MO_RIS_NEP,0,COLUMN())</f>
        <v>12124</v>
      </c>
      <c r="AY41" s="177">
        <f t="shared" si="52"/>
        <v>12336</v>
      </c>
      <c r="AZ41" s="1097">
        <f t="shared" si="52"/>
        <v>47736</v>
      </c>
      <c r="BA41" s="177">
        <f>INDEX(MO_RIS_NEP,0,COLUMN())</f>
        <v>12636</v>
      </c>
      <c r="BB41" s="177">
        <f>INDEX(MO_RIS_NEP,0,COLUMN())</f>
        <v>12923</v>
      </c>
      <c r="BC41" s="177">
        <f>INDEX(MO_RIS_NEP,0,COLUMN())</f>
        <v>13302</v>
      </c>
      <c r="BD41" s="177">
        <f>INDEX(MO_RIS_NEP,0,COLUMN())</f>
        <v>13655</v>
      </c>
      <c r="BE41" s="1097">
        <f>INDEX(MO_RIS_NEP,0,COLUMN())</f>
        <v>52516</v>
      </c>
      <c r="BF41" s="177">
        <f t="shared" si="53" ref="BF41:BJ41">INDEX(MO_RIS_NEP,0,COLUMN())</f>
        <v>13990</v>
      </c>
      <c r="BG41" s="177">
        <f t="shared" si="53"/>
        <v>14426</v>
      </c>
      <c r="BH41" s="779">
        <f>INDEX(MO_RIS_NEP,0,COLUMN())</f>
        <v>14820</v>
      </c>
      <c r="BI41" s="177">
        <f t="shared" si="53"/>
        <v>14578.592999999999</v>
      </c>
      <c r="BJ41" s="1097">
        <f t="shared" si="53"/>
        <v>57814.593000000001</v>
      </c>
      <c r="BK41" s="177">
        <f t="shared" si="54" ref="BK41:BR41">INDEX(MO_RIS_NEP,0,COLUMN())</f>
        <v>15129.332</v>
      </c>
      <c r="BL41" s="177">
        <f t="shared" si="54"/>
        <v>16269.196000000002</v>
      </c>
      <c r="BM41" s="177">
        <f t="shared" si="54"/>
        <v>16720.427</v>
      </c>
      <c r="BN41" s="177">
        <f t="shared" si="54"/>
        <v>15729.26513</v>
      </c>
      <c r="BO41" s="1097">
        <f t="shared" si="54"/>
        <v>63848.220130000002</v>
      </c>
      <c r="BP41" s="1097">
        <f t="shared" si="54"/>
        <v>64446.406465100008</v>
      </c>
      <c r="BQ41" s="1097">
        <f t="shared" si="54"/>
        <v>66227.612322443019</v>
      </c>
      <c r="BR41" s="1097">
        <f t="shared" si="54"/>
        <v>68250.590990916302</v>
      </c>
      <c r="BS41" s="177"/>
    </row>
    <row r="42" spans="1:71" s="427" customFormat="1" ht="15">
      <c r="A42" s="266" t="str">
        <f>INDEX(MO_RIS_NetII,0,COLUMN())</f>
        <v>Net Investment Income</v>
      </c>
      <c r="B42" s="267"/>
      <c r="C42" s="1097">
        <f t="shared" si="55" ref="C42:AZ42">INDEX(MO_RIS_NetII,0,COLUMN())</f>
        <v>4444</v>
      </c>
      <c r="D42" s="1097">
        <f t="shared" si="55"/>
        <v>4102</v>
      </c>
      <c r="E42" s="1097">
        <f t="shared" si="55"/>
        <v>3971</v>
      </c>
      <c r="F42" s="1097">
        <f t="shared" si="55"/>
        <v>4010</v>
      </c>
      <c r="G42" s="1097">
        <f t="shared" si="55"/>
        <v>3943</v>
      </c>
      <c r="H42" s="177">
        <f t="shared" si="55"/>
        <v>959</v>
      </c>
      <c r="I42" s="177">
        <f t="shared" si="55"/>
        <v>898</v>
      </c>
      <c r="J42" s="177">
        <f t="shared" si="55"/>
        <v>823</v>
      </c>
      <c r="K42" s="177">
        <f t="shared" si="55"/>
        <v>779</v>
      </c>
      <c r="L42" s="1097">
        <f t="shared" si="55"/>
        <v>3459</v>
      </c>
      <c r="M42" s="177">
        <f t="shared" si="55"/>
        <v>850</v>
      </c>
      <c r="N42" s="177">
        <f t="shared" si="55"/>
        <v>789</v>
      </c>
      <c r="O42" s="177">
        <f t="shared" si="55"/>
        <v>807</v>
      </c>
      <c r="P42" s="177">
        <f t="shared" si="55"/>
        <v>710</v>
      </c>
      <c r="Q42" s="1097">
        <f t="shared" si="55"/>
        <v>3156</v>
      </c>
      <c r="R42" s="177">
        <f t="shared" si="55"/>
        <v>731</v>
      </c>
      <c r="S42" s="177">
        <f t="shared" si="55"/>
        <v>762</v>
      </c>
      <c r="T42" s="177">
        <f t="shared" si="55"/>
        <v>748</v>
      </c>
      <c r="U42" s="177">
        <f t="shared" si="55"/>
        <v>801</v>
      </c>
      <c r="V42" s="1097">
        <f t="shared" si="55"/>
        <v>3042</v>
      </c>
      <c r="W42" s="177">
        <f t="shared" si="55"/>
        <v>748</v>
      </c>
      <c r="X42" s="177">
        <f t="shared" si="55"/>
        <v>897</v>
      </c>
      <c r="Y42" s="177">
        <f t="shared" si="55"/>
        <v>843</v>
      </c>
      <c r="Z42" s="177">
        <f t="shared" si="55"/>
        <v>913</v>
      </c>
      <c r="AA42" s="1097">
        <f t="shared" si="55"/>
        <v>3401</v>
      </c>
      <c r="AB42" s="177">
        <f t="shared" si="55"/>
        <v>786</v>
      </c>
      <c r="AC42" s="177">
        <f t="shared" si="55"/>
        <v>824</v>
      </c>
      <c r="AD42" s="177">
        <f t="shared" si="55"/>
        <v>844</v>
      </c>
      <c r="AE42" s="177">
        <f t="shared" si="55"/>
        <v>786</v>
      </c>
      <c r="AF42" s="1097">
        <f t="shared" si="55"/>
        <v>3240</v>
      </c>
      <c r="AG42" s="177">
        <f t="shared" si="55"/>
        <v>648</v>
      </c>
      <c r="AH42" s="177">
        <f t="shared" si="55"/>
        <v>942</v>
      </c>
      <c r="AI42" s="177">
        <f t="shared" si="55"/>
        <v>880</v>
      </c>
      <c r="AJ42" s="177">
        <f t="shared" si="55"/>
        <v>689</v>
      </c>
      <c r="AK42" s="1097">
        <f t="shared" si="55"/>
        <v>3159</v>
      </c>
      <c r="AL42" s="177">
        <f>INDEX(MO_RIS_NetII,0,COLUMN())</f>
        <v>246</v>
      </c>
      <c r="AM42" s="177">
        <f>INDEX(MO_RIS_NetII,0,COLUMN())</f>
        <v>220</v>
      </c>
      <c r="AN42" s="177">
        <f>INDEX(MO_RIS_NetII,0,COLUMN())</f>
        <v>464</v>
      </c>
      <c r="AO42" s="177">
        <f t="shared" si="55"/>
        <v>660</v>
      </c>
      <c r="AP42" s="1097">
        <f t="shared" si="55"/>
        <v>1590</v>
      </c>
      <c r="AQ42" s="177">
        <f>INDEX(MO_RIS_NetII,0,COLUMN())</f>
        <v>708</v>
      </c>
      <c r="AR42" s="177">
        <f>INDEX(MO_RIS_NetII,0,COLUMN())</f>
        <v>974</v>
      </c>
      <c r="AS42" s="177">
        <f>INDEX(MO_RIS_NetII,0,COLUMN())</f>
        <v>764</v>
      </c>
      <c r="AT42" s="177">
        <f t="shared" si="55"/>
        <v>847</v>
      </c>
      <c r="AU42" s="1097">
        <f t="shared" si="55"/>
        <v>3293</v>
      </c>
      <c r="AV42" s="177">
        <f>INDEX(MO_RIS_NetII,0,COLUMN())</f>
        <v>594</v>
      </c>
      <c r="AW42" s="177">
        <f>INDEX(MO_RIS_NetII,0,COLUMN())</f>
        <v>562</v>
      </c>
      <c r="AX42" s="177">
        <f>INDEX(MO_RIS_NetII,0,COLUMN())</f>
        <v>690</v>
      </c>
      <c r="AY42" s="177">
        <f t="shared" si="55"/>
        <v>557</v>
      </c>
      <c r="AZ42" s="1097">
        <f t="shared" si="55"/>
        <v>2403</v>
      </c>
      <c r="BA42" s="177">
        <f>INDEX(MO_RIS_NetII,0,COLUMN())</f>
        <v>575</v>
      </c>
      <c r="BB42" s="177">
        <f>INDEX(MO_RIS_NetII,0,COLUMN())</f>
        <v>610</v>
      </c>
      <c r="BC42" s="177">
        <f>INDEX(MO_RIS_NetII,0,COLUMN())</f>
        <v>689</v>
      </c>
      <c r="BD42" s="177">
        <f>INDEX(MO_RIS_NetII,0,COLUMN())</f>
        <v>604</v>
      </c>
      <c r="BE42" s="1097">
        <f>INDEX(MO_RIS_NetII,0,COLUMN())</f>
        <v>2478</v>
      </c>
      <c r="BF42" s="177">
        <f t="shared" si="56" ref="BF42:BJ42">INDEX(MO_RIS_NetII,0,COLUMN())</f>
        <v>764</v>
      </c>
      <c r="BG42" s="177">
        <f t="shared" si="56"/>
        <v>712</v>
      </c>
      <c r="BH42" s="779">
        <f>INDEX(MO_RIS_NetII,0,COLUMN())</f>
        <v>783</v>
      </c>
      <c r="BI42" s="177">
        <f t="shared" si="56"/>
        <v>651.73806972677585</v>
      </c>
      <c r="BJ42" s="1097">
        <f t="shared" si="56"/>
        <v>2910.7380697267758</v>
      </c>
      <c r="BK42" s="177">
        <f t="shared" si="57" ref="BK42:BR42">INDEX(MO_RIS_NetII,0,COLUMN())</f>
        <v>616.86650835616433</v>
      </c>
      <c r="BL42" s="177">
        <f t="shared" si="57"/>
        <v>640.07192689041096</v>
      </c>
      <c r="BM42" s="177">
        <f t="shared" si="57"/>
        <v>661.17964016438361</v>
      </c>
      <c r="BN42" s="177">
        <f t="shared" si="57"/>
        <v>634.88533446136989</v>
      </c>
      <c r="BO42" s="1097">
        <f t="shared" si="57"/>
        <v>2553.003409872329</v>
      </c>
      <c r="BP42" s="1097">
        <f t="shared" si="57"/>
        <v>2353.7553568439998</v>
      </c>
      <c r="BQ42" s="1097">
        <f t="shared" si="57"/>
        <v>2381.6766859792801</v>
      </c>
      <c r="BR42" s="1097">
        <f t="shared" si="57"/>
        <v>2411.3505328736496</v>
      </c>
      <c r="BS42" s="177"/>
    </row>
    <row r="43" spans="1:71" s="427" customFormat="1" ht="15">
      <c r="A43" s="266" t="str">
        <f>INDEX(MO_RIS_NetIG,0,COLUMN())</f>
        <v>Net Investment Gains</v>
      </c>
      <c r="B43" s="267"/>
      <c r="C43" s="1097">
        <f t="shared" si="58" ref="C43:AZ43">INDEX(MO_RIS_NetIG,0,COLUMN())</f>
        <v>-583</v>
      </c>
      <c r="D43" s="1097">
        <f t="shared" si="58"/>
        <v>-827</v>
      </c>
      <c r="E43" s="1097">
        <f t="shared" si="58"/>
        <v>503</v>
      </c>
      <c r="F43" s="1097">
        <f t="shared" si="58"/>
        <v>327</v>
      </c>
      <c r="G43" s="1097">
        <f t="shared" si="58"/>
        <v>594</v>
      </c>
      <c r="H43" s="177">
        <f t="shared" si="58"/>
        <v>54</v>
      </c>
      <c r="I43" s="177">
        <f t="shared" si="58"/>
        <v>240</v>
      </c>
      <c r="J43" s="177">
        <f t="shared" si="58"/>
        <v>294</v>
      </c>
      <c r="K43" s="177">
        <f t="shared" si="58"/>
        <v>106</v>
      </c>
      <c r="L43" s="1097">
        <f t="shared" si="58"/>
        <v>694</v>
      </c>
      <c r="M43" s="177">
        <f t="shared" si="58"/>
        <v>139</v>
      </c>
      <c r="N43" s="177">
        <f t="shared" si="58"/>
        <v>108</v>
      </c>
      <c r="O43" s="177">
        <f t="shared" si="58"/>
        <v>33</v>
      </c>
      <c r="P43" s="177">
        <f t="shared" si="58"/>
        <v>-250</v>
      </c>
      <c r="Q43" s="1097">
        <f t="shared" si="58"/>
        <v>30</v>
      </c>
      <c r="R43" s="177">
        <f t="shared" si="58"/>
        <v>-149</v>
      </c>
      <c r="S43" s="177">
        <f t="shared" si="58"/>
        <v>24</v>
      </c>
      <c r="T43" s="177">
        <f t="shared" si="58"/>
        <v>33</v>
      </c>
      <c r="U43" s="177">
        <f t="shared" si="58"/>
        <v>2</v>
      </c>
      <c r="V43" s="1097">
        <f t="shared" si="58"/>
        <v>-90</v>
      </c>
      <c r="W43" s="177">
        <f t="shared" si="58"/>
        <v>134</v>
      </c>
      <c r="X43" s="177">
        <f t="shared" si="58"/>
        <v>81</v>
      </c>
      <c r="Y43" s="177">
        <f t="shared" si="58"/>
        <v>103</v>
      </c>
      <c r="Z43" s="177">
        <f t="shared" si="58"/>
        <v>127</v>
      </c>
      <c r="AA43" s="1097">
        <f t="shared" si="58"/>
        <v>445</v>
      </c>
      <c r="AB43" s="177">
        <f t="shared" si="58"/>
        <v>-134</v>
      </c>
      <c r="AC43" s="177">
        <f t="shared" si="58"/>
        <v>-25</v>
      </c>
      <c r="AD43" s="177">
        <f t="shared" si="58"/>
        <v>176</v>
      </c>
      <c r="AE43" s="177">
        <f t="shared" si="58"/>
        <v>-894</v>
      </c>
      <c r="AF43" s="1097">
        <f t="shared" si="58"/>
        <v>-877</v>
      </c>
      <c r="AG43" s="177">
        <f t="shared" si="58"/>
        <v>662</v>
      </c>
      <c r="AH43" s="177">
        <f t="shared" si="58"/>
        <v>324</v>
      </c>
      <c r="AI43" s="177">
        <f t="shared" si="58"/>
        <v>197</v>
      </c>
      <c r="AJ43" s="177">
        <f t="shared" si="58"/>
        <v>702</v>
      </c>
      <c r="AK43" s="1097">
        <f t="shared" si="58"/>
        <v>1885</v>
      </c>
      <c r="AL43" s="177">
        <f>INDEX(MO_RIS_NetIG,0,COLUMN())</f>
        <v>-162</v>
      </c>
      <c r="AM43" s="177">
        <f>INDEX(MO_RIS_NetIG,0,COLUMN())</f>
        <v>440</v>
      </c>
      <c r="AN43" s="177">
        <f>INDEX(MO_RIS_NetIG,0,COLUMN())</f>
        <v>319</v>
      </c>
      <c r="AO43" s="177">
        <f t="shared" si="58"/>
        <v>490</v>
      </c>
      <c r="AP43" s="1097">
        <f t="shared" si="58"/>
        <v>1087</v>
      </c>
      <c r="AQ43" s="177">
        <f>INDEX(MO_RIS_NetIG,0,COLUMN())</f>
        <v>426</v>
      </c>
      <c r="AR43" s="177">
        <f>INDEX(MO_RIS_NetIG,0,COLUMN())</f>
        <v>287</v>
      </c>
      <c r="AS43" s="177">
        <f>INDEX(MO_RIS_NetIG,0,COLUMN())</f>
        <v>105</v>
      </c>
      <c r="AT43" s="177">
        <f t="shared" si="58"/>
        <v>266</v>
      </c>
      <c r="AU43" s="1097">
        <f t="shared" si="58"/>
        <v>1084</v>
      </c>
      <c r="AV43" s="177">
        <f>INDEX(MO_RIS_NetIG,0,COLUMN())</f>
        <v>-267</v>
      </c>
      <c r="AW43" s="177">
        <f>INDEX(MO_RIS_NetIG,0,COLUMN())</f>
        <v>-733</v>
      </c>
      <c r="AX43" s="177">
        <f>INDEX(MO_RIS_NetIG,0,COLUMN())</f>
        <v>-167</v>
      </c>
      <c r="AY43" s="177">
        <f t="shared" si="58"/>
        <v>95</v>
      </c>
      <c r="AZ43" s="1097">
        <f t="shared" si="58"/>
        <v>-1072</v>
      </c>
      <c r="BA43" s="177">
        <f>INDEX(MO_RIS_NetIG,0,COLUMN())</f>
        <v>14</v>
      </c>
      <c r="BB43" s="177">
        <f>INDEX(MO_RIS_NetIG,0,COLUMN())</f>
        <v>-151</v>
      </c>
      <c r="BC43" s="177">
        <f>INDEX(MO_RIS_NetIG,0,COLUMN())</f>
        <v>-86</v>
      </c>
      <c r="BD43" s="177">
        <f>INDEX(MO_RIS_NetIG,0,COLUMN())</f>
        <v>-77</v>
      </c>
      <c r="BE43" s="1097">
        <f>INDEX(MO_RIS_NetIG,0,COLUMN())</f>
        <v>-300</v>
      </c>
      <c r="BF43" s="177">
        <f t="shared" si="59" ref="BF43:BJ43">INDEX(MO_RIS_NetIG,0,COLUMN())</f>
        <v>-164</v>
      </c>
      <c r="BG43" s="177">
        <f t="shared" si="59"/>
        <v>-103</v>
      </c>
      <c r="BH43" s="779">
        <f>INDEX(MO_RIS_NetIG,0,COLUMN())</f>
        <v>243</v>
      </c>
      <c r="BI43" s="177">
        <f t="shared" si="59"/>
        <v>57</v>
      </c>
      <c r="BJ43" s="1097">
        <f t="shared" si="59"/>
        <v>33</v>
      </c>
      <c r="BK43" s="177">
        <f t="shared" si="60" ref="BK43:BR43">INDEX(MO_RIS_NetIG,0,COLUMN())</f>
        <v>57</v>
      </c>
      <c r="BL43" s="177">
        <f t="shared" si="60"/>
        <v>57</v>
      </c>
      <c r="BM43" s="177">
        <f t="shared" si="60"/>
        <v>57</v>
      </c>
      <c r="BN43" s="177">
        <f t="shared" si="60"/>
        <v>57</v>
      </c>
      <c r="BO43" s="1097">
        <f t="shared" si="60"/>
        <v>228</v>
      </c>
      <c r="BP43" s="1097">
        <f t="shared" si="60"/>
        <v>228</v>
      </c>
      <c r="BQ43" s="1097">
        <f t="shared" si="60"/>
        <v>228</v>
      </c>
      <c r="BR43" s="1097">
        <f t="shared" si="60"/>
        <v>228</v>
      </c>
      <c r="BS43" s="177"/>
    </row>
    <row r="44" spans="1:71" s="427" customFormat="1" ht="15">
      <c r="A44" s="268" t="str">
        <f>INDEX(MO_RIS_OtherIncome,0,COLUMN())</f>
        <v>Other Income</v>
      </c>
      <c r="B44" s="269"/>
      <c r="C44" s="1098">
        <f t="shared" si="61" ref="C44:AZ44">INDEX(MO_RIS_OtherIncome,0,COLUMN())</f>
        <v>0</v>
      </c>
      <c r="D44" s="1098">
        <f t="shared" si="61"/>
        <v>0</v>
      </c>
      <c r="E44" s="1098">
        <f t="shared" si="61"/>
        <v>0</v>
      </c>
      <c r="F44" s="1098">
        <f t="shared" si="61"/>
        <v>0</v>
      </c>
      <c r="G44" s="1098">
        <f t="shared" si="61"/>
        <v>0</v>
      </c>
      <c r="H44" s="179">
        <f t="shared" si="61"/>
        <v>0</v>
      </c>
      <c r="I44" s="179">
        <f t="shared" si="61"/>
        <v>0</v>
      </c>
      <c r="J44" s="179">
        <f t="shared" si="61"/>
        <v>0</v>
      </c>
      <c r="K44" s="179">
        <f t="shared" si="61"/>
        <v>0</v>
      </c>
      <c r="L44" s="1098">
        <f t="shared" si="61"/>
        <v>0</v>
      </c>
      <c r="M44" s="179">
        <f t="shared" si="61"/>
        <v>0</v>
      </c>
      <c r="N44" s="179">
        <f t="shared" si="61"/>
        <v>0</v>
      </c>
      <c r="O44" s="179">
        <f t="shared" si="61"/>
        <v>0</v>
      </c>
      <c r="P44" s="179">
        <f t="shared" si="61"/>
        <v>0</v>
      </c>
      <c r="Q44" s="1098">
        <f t="shared" si="61"/>
        <v>0</v>
      </c>
      <c r="R44" s="179">
        <f t="shared" si="61"/>
        <v>0</v>
      </c>
      <c r="S44" s="179">
        <f t="shared" si="61"/>
        <v>0</v>
      </c>
      <c r="T44" s="179">
        <f t="shared" si="61"/>
        <v>0</v>
      </c>
      <c r="U44" s="179">
        <f t="shared" si="61"/>
        <v>0</v>
      </c>
      <c r="V44" s="1098">
        <f t="shared" si="61"/>
        <v>0</v>
      </c>
      <c r="W44" s="179">
        <f t="shared" si="61"/>
        <v>0</v>
      </c>
      <c r="X44" s="179">
        <f t="shared" si="61"/>
        <v>0</v>
      </c>
      <c r="Y44" s="179">
        <f t="shared" si="61"/>
        <v>0</v>
      </c>
      <c r="Z44" s="179">
        <f t="shared" si="61"/>
        <v>0</v>
      </c>
      <c r="AA44" s="1098">
        <f t="shared" si="61"/>
        <v>0</v>
      </c>
      <c r="AB44" s="179">
        <f t="shared" si="61"/>
        <v>216</v>
      </c>
      <c r="AC44" s="179">
        <f t="shared" si="61"/>
        <v>228</v>
      </c>
      <c r="AD44" s="179">
        <f t="shared" si="61"/>
        <v>238</v>
      </c>
      <c r="AE44" s="179">
        <f t="shared" si="61"/>
        <v>257</v>
      </c>
      <c r="AF44" s="1098">
        <f t="shared" si="61"/>
        <v>939</v>
      </c>
      <c r="AG44" s="179">
        <f t="shared" si="61"/>
        <v>250</v>
      </c>
      <c r="AH44" s="179">
        <f t="shared" si="61"/>
        <v>271</v>
      </c>
      <c r="AI44" s="179">
        <f t="shared" si="61"/>
        <v>273</v>
      </c>
      <c r="AJ44" s="179">
        <f t="shared" si="61"/>
        <v>260</v>
      </c>
      <c r="AK44" s="1098">
        <f t="shared" si="61"/>
        <v>1054</v>
      </c>
      <c r="AL44" s="179">
        <f>INDEX(MO_RIS_OtherIncome,0,COLUMN())</f>
        <v>265</v>
      </c>
      <c r="AM44" s="179">
        <f>INDEX(MO_RIS_OtherIncome,0,COLUMN())</f>
        <v>257</v>
      </c>
      <c r="AN44" s="179">
        <f>INDEX(MO_RIS_OtherIncome,0,COLUMN())</f>
        <v>272</v>
      </c>
      <c r="AO44" s="179">
        <f t="shared" si="61"/>
        <v>271</v>
      </c>
      <c r="AP44" s="1098">
        <f t="shared" si="61"/>
        <v>1065</v>
      </c>
      <c r="AQ44" s="179">
        <f>INDEX(MO_RIS_OtherIncome,0,COLUMN())</f>
        <v>555</v>
      </c>
      <c r="AR44" s="179">
        <f>INDEX(MO_RIS_OtherIncome,0,COLUMN())</f>
        <v>494</v>
      </c>
      <c r="AS44" s="179">
        <f>INDEX(MO_RIS_OtherIncome,0,COLUMN())</f>
        <v>536</v>
      </c>
      <c r="AT44" s="179">
        <f t="shared" si="61"/>
        <v>587</v>
      </c>
      <c r="AU44" s="1098">
        <f t="shared" si="61"/>
        <v>2172</v>
      </c>
      <c r="AV44" s="179">
        <f>INDEX(MO_RIS_OtherIncome,0,COLUMN())</f>
        <v>560</v>
      </c>
      <c r="AW44" s="179">
        <f>INDEX(MO_RIS_OtherIncome,0,COLUMN())</f>
        <v>563</v>
      </c>
      <c r="AX44" s="179">
        <f>INDEX(MO_RIS_OtherIncome,0,COLUMN())</f>
        <v>561</v>
      </c>
      <c r="AY44" s="179">
        <f t="shared" si="61"/>
        <v>660</v>
      </c>
      <c r="AZ44" s="1098">
        <f t="shared" si="61"/>
        <v>2344</v>
      </c>
      <c r="BA44" s="179">
        <f>INDEX(MO_RIS_OtherIncome,0,COLUMN())</f>
        <v>561</v>
      </c>
      <c r="BB44" s="179">
        <f>INDEX(MO_RIS_OtherIncome,0,COLUMN())</f>
        <v>597</v>
      </c>
      <c r="BC44" s="179">
        <f>INDEX(MO_RIS_OtherIncome,0,COLUMN())</f>
        <v>592</v>
      </c>
      <c r="BD44" s="179">
        <f>INDEX(MO_RIS_OtherIncome,0,COLUMN())</f>
        <v>650</v>
      </c>
      <c r="BE44" s="1098">
        <f>INDEX(MO_RIS_OtherIncome,0,COLUMN())</f>
        <v>2400</v>
      </c>
      <c r="BF44" s="179">
        <f t="shared" si="62" ref="BF44:BJ44">INDEX(MO_RIS_OtherIncome,0,COLUMN())</f>
        <v>669</v>
      </c>
      <c r="BG44" s="179">
        <f t="shared" si="62"/>
        <v>679</v>
      </c>
      <c r="BH44" s="780">
        <f>INDEX(MO_RIS_OtherIncome,0,COLUMN())</f>
        <v>781</v>
      </c>
      <c r="BI44" s="179">
        <f t="shared" si="62"/>
        <v>250.39999999999998</v>
      </c>
      <c r="BJ44" s="1098">
        <f t="shared" si="62"/>
        <v>2379.40</v>
      </c>
      <c r="BK44" s="179">
        <f t="shared" si="63" ref="BK44:BR44">INDEX(MO_RIS_OtherIncome,0,COLUMN())</f>
        <v>185</v>
      </c>
      <c r="BL44" s="179">
        <f t="shared" si="63"/>
        <v>202.85000000000002</v>
      </c>
      <c r="BM44" s="179">
        <f t="shared" si="63"/>
        <v>225.95</v>
      </c>
      <c r="BN44" s="179">
        <f t="shared" si="63"/>
        <v>217.97</v>
      </c>
      <c r="BO44" s="1098">
        <f t="shared" si="63"/>
        <v>831.77</v>
      </c>
      <c r="BP44" s="1098">
        <f t="shared" si="63"/>
        <v>861.55850000000009</v>
      </c>
      <c r="BQ44" s="1098">
        <f t="shared" si="63"/>
        <v>892.83642500000008</v>
      </c>
      <c r="BR44" s="1098">
        <f t="shared" si="63"/>
        <v>925.67824625000003</v>
      </c>
      <c r="BS44" s="177"/>
    </row>
    <row r="45" spans="1:71" s="70" customFormat="1" ht="15">
      <c r="A45" s="261" t="str">
        <f>INDEX(MO_RIS_REV,0,COLUMN())</f>
        <v>Net Revenue</v>
      </c>
      <c r="B45" s="262"/>
      <c r="C45" s="1095">
        <f t="shared" si="64" ref="C45:AZ45">INDEX(SP_GF_NEP,0,COLUMN())+INDEX(SP_GF_NetII,0,COLUMN())+INDEX(SP_GF_NetIG,0,COLUMN())+INDEX(SP_GF_OtherIncome,0,COLUMN())</f>
        <v>32013</v>
      </c>
      <c r="D45" s="1095">
        <f t="shared" si="64"/>
        <v>31400</v>
      </c>
      <c r="E45" s="1095">
        <f t="shared" si="64"/>
        <v>32654</v>
      </c>
      <c r="F45" s="1095">
        <f t="shared" si="64"/>
        <v>33315</v>
      </c>
      <c r="G45" s="1095">
        <f t="shared" si="64"/>
        <v>34507</v>
      </c>
      <c r="H45" s="173">
        <f t="shared" si="64"/>
        <v>8684</v>
      </c>
      <c r="I45" s="173">
        <f t="shared" si="64"/>
        <v>8860</v>
      </c>
      <c r="J45" s="173">
        <f t="shared" si="64"/>
        <v>8936</v>
      </c>
      <c r="K45" s="173">
        <f t="shared" si="64"/>
        <v>8759</v>
      </c>
      <c r="L45" s="1095">
        <f t="shared" si="64"/>
        <v>35239</v>
      </c>
      <c r="M45" s="173">
        <f t="shared" si="64"/>
        <v>8952</v>
      </c>
      <c r="N45" s="173">
        <f t="shared" si="64"/>
        <v>8982</v>
      </c>
      <c r="O45" s="173">
        <f t="shared" si="64"/>
        <v>9028</v>
      </c>
      <c r="P45" s="173">
        <f t="shared" si="64"/>
        <v>8691</v>
      </c>
      <c r="Q45" s="1095">
        <f t="shared" si="64"/>
        <v>35653</v>
      </c>
      <c r="R45" s="173">
        <f t="shared" si="64"/>
        <v>8871</v>
      </c>
      <c r="S45" s="173">
        <f t="shared" si="64"/>
        <v>9164</v>
      </c>
      <c r="T45" s="173">
        <f t="shared" si="64"/>
        <v>9221</v>
      </c>
      <c r="U45" s="173">
        <f t="shared" si="64"/>
        <v>9278</v>
      </c>
      <c r="V45" s="1095">
        <f t="shared" si="64"/>
        <v>36534</v>
      </c>
      <c r="W45" s="173">
        <f t="shared" si="64"/>
        <v>9434</v>
      </c>
      <c r="X45" s="173">
        <f t="shared" si="64"/>
        <v>9587</v>
      </c>
      <c r="Y45" s="173">
        <f t="shared" si="64"/>
        <v>9660</v>
      </c>
      <c r="Z45" s="173">
        <f t="shared" si="64"/>
        <v>9843</v>
      </c>
      <c r="AA45" s="1095">
        <f t="shared" si="64"/>
        <v>38524</v>
      </c>
      <c r="AB45" s="173">
        <f t="shared" si="64"/>
        <v>9770</v>
      </c>
      <c r="AC45" s="173">
        <f t="shared" si="64"/>
        <v>10099</v>
      </c>
      <c r="AD45" s="173">
        <f t="shared" si="64"/>
        <v>10465</v>
      </c>
      <c r="AE45" s="173">
        <f t="shared" si="64"/>
        <v>9481</v>
      </c>
      <c r="AF45" s="1095">
        <f t="shared" si="64"/>
        <v>39815</v>
      </c>
      <c r="AG45" s="173">
        <f t="shared" si="64"/>
        <v>10990</v>
      </c>
      <c r="AH45" s="173">
        <f t="shared" si="64"/>
        <v>11144</v>
      </c>
      <c r="AI45" s="173">
        <f t="shared" si="64"/>
        <v>11069</v>
      </c>
      <c r="AJ45" s="173">
        <f t="shared" si="64"/>
        <v>11472</v>
      </c>
      <c r="AK45" s="1095">
        <f t="shared" si="64"/>
        <v>44675</v>
      </c>
      <c r="AL45" s="173">
        <f>INDEX(SP_GF_NEP,0,COLUMN())+INDEX(SP_GF_NetII,0,COLUMN())+INDEX(SP_GF_NetIG,0,COLUMN())+INDEX(SP_GF_OtherIncome,0,COLUMN())</f>
        <v>9866</v>
      </c>
      <c r="AM45" s="173">
        <f>INDEX(SP_GF_NEP,0,COLUMN())+INDEX(SP_GF_NetII,0,COLUMN())+INDEX(SP_GF_NetIG,0,COLUMN())+INDEX(SP_GF_OtherIncome,0,COLUMN())</f>
        <v>10403</v>
      </c>
      <c r="AN45" s="173">
        <f>INDEX(SP_GF_NEP,0,COLUMN())+INDEX(SP_GF_NetII,0,COLUMN())+INDEX(SP_GF_NetIG,0,COLUMN())+INDEX(SP_GF_OtherIncome,0,COLUMN())</f>
        <v>10678</v>
      </c>
      <c r="AO45" s="173">
        <f t="shared" si="64"/>
        <v>10962</v>
      </c>
      <c r="AP45" s="1095">
        <f t="shared" si="64"/>
        <v>41909</v>
      </c>
      <c r="AQ45" s="173">
        <f>INDEX(SP_GF_NEP,0,COLUMN())+INDEX(SP_GF_NetII,0,COLUMN())+INDEX(SP_GF_NetIG,0,COLUMN())+INDEX(SP_GF_OtherIncome,0,COLUMN())</f>
        <v>12451</v>
      </c>
      <c r="AR45" s="173">
        <f>INDEX(SP_GF_NEP,0,COLUMN())+INDEX(SP_GF_NetII,0,COLUMN())+INDEX(SP_GF_NetIG,0,COLUMN())+INDEX(SP_GF_OtherIncome,0,COLUMN())</f>
        <v>12646</v>
      </c>
      <c r="AS45" s="173">
        <f>INDEX(SP_GF_NEP,0,COLUMN())+INDEX(SP_GF_NetII,0,COLUMN())+INDEX(SP_GF_NetIG,0,COLUMN())+INDEX(SP_GF_OtherIncome,0,COLUMN())</f>
        <v>12480</v>
      </c>
      <c r="AT45" s="173">
        <f t="shared" si="64"/>
        <v>13011</v>
      </c>
      <c r="AU45" s="1095">
        <f t="shared" si="64"/>
        <v>50588</v>
      </c>
      <c r="AV45" s="173">
        <f>INDEX(SP_GF_NEP,0,COLUMN())+INDEX(SP_GF_NetII,0,COLUMN())+INDEX(SP_GF_NetIG,0,COLUMN())+INDEX(SP_GF_OtherIncome,0,COLUMN())</f>
        <v>12336</v>
      </c>
      <c r="AW45" s="173">
        <f>INDEX(SP_GF_NEP,0,COLUMN())+INDEX(SP_GF_NetII,0,COLUMN())+INDEX(SP_GF_NetIG,0,COLUMN())+INDEX(SP_GF_OtherIncome,0,COLUMN())</f>
        <v>12219</v>
      </c>
      <c r="AX45" s="173">
        <f>INDEX(SP_GF_NEP,0,COLUMN())+INDEX(SP_GF_NetII,0,COLUMN())+INDEX(SP_GF_NetIG,0,COLUMN())+INDEX(SP_GF_OtherIncome,0,COLUMN())</f>
        <v>13208</v>
      </c>
      <c r="AY45" s="173">
        <f t="shared" si="64"/>
        <v>13648</v>
      </c>
      <c r="AZ45" s="1095">
        <f t="shared" si="64"/>
        <v>51411</v>
      </c>
      <c r="BA45" s="173">
        <f>INDEX(SP_GF_NEP,0,COLUMN())+INDEX(SP_GF_NetII,0,COLUMN())+INDEX(SP_GF_NetIG,0,COLUMN())+INDEX(SP_GF_OtherIncome,0,COLUMN())</f>
        <v>13786</v>
      </c>
      <c r="BB45" s="173">
        <f>INDEX(SP_GF_NEP,0,COLUMN())+INDEX(SP_GF_NetII,0,COLUMN())+INDEX(SP_GF_NetIG,0,COLUMN())+INDEX(SP_GF_OtherIncome,0,COLUMN())</f>
        <v>13979</v>
      </c>
      <c r="BC45" s="173">
        <f>INDEX(SP_GF_NEP,0,COLUMN())+INDEX(SP_GF_NetII,0,COLUMN())+INDEX(SP_GF_NetIG,0,COLUMN())+INDEX(SP_GF_OtherIncome,0,COLUMN())</f>
        <v>14497</v>
      </c>
      <c r="BD45" s="173">
        <f>INDEX(SP_GF_NEP,0,COLUMN())+INDEX(SP_GF_NetII,0,COLUMN())+INDEX(SP_GF_NetIG,0,COLUMN())+INDEX(SP_GF_OtherIncome,0,COLUMN())</f>
        <v>14832</v>
      </c>
      <c r="BE45" s="1095">
        <f>INDEX(SP_GF_NEP,0,COLUMN())+INDEX(SP_GF_NetII,0,COLUMN())+INDEX(SP_GF_NetIG,0,COLUMN())+INDEX(SP_GF_OtherIncome,0,COLUMN())</f>
        <v>57094</v>
      </c>
      <c r="BF45" s="173">
        <f t="shared" si="65" ref="BF45:BJ45">INDEX(SP_GF_NEP,0,COLUMN())+INDEX(SP_GF_NetII,0,COLUMN())+INDEX(SP_GF_NetIG,0,COLUMN())+INDEX(SP_GF_OtherIncome,0,COLUMN())</f>
        <v>15259</v>
      </c>
      <c r="BG45" s="173">
        <f t="shared" si="65"/>
        <v>15714</v>
      </c>
      <c r="BH45" s="777">
        <f>INDEX(SP_GF_NEP,0,COLUMN())+INDEX(SP_GF_NetII,0,COLUMN())+INDEX(SP_GF_NetIG,0,COLUMN())+INDEX(SP_GF_OtherIncome,0,COLUMN())</f>
        <v>16627</v>
      </c>
      <c r="BI45" s="173">
        <f t="shared" si="65"/>
        <v>15537.731069726775</v>
      </c>
      <c r="BJ45" s="1095">
        <f t="shared" si="65"/>
        <v>63137.731069726775</v>
      </c>
      <c r="BK45" s="173">
        <f t="shared" si="66" ref="BK45:BR45">INDEX(SP_GF_NEP,0,COLUMN())+INDEX(SP_GF_NetII,0,COLUMN())+INDEX(SP_GF_NetIG,0,COLUMN())+INDEX(SP_GF_OtherIncome,0,COLUMN())</f>
        <v>15988.198508356165</v>
      </c>
      <c r="BL45" s="173">
        <f t="shared" si="66"/>
        <v>17169.117926890412</v>
      </c>
      <c r="BM45" s="173">
        <f t="shared" si="66"/>
        <v>17664.556640164385</v>
      </c>
      <c r="BN45" s="173">
        <f t="shared" si="66"/>
        <v>16639.120464461372</v>
      </c>
      <c r="BO45" s="1095">
        <f t="shared" si="66"/>
        <v>67460.993539872332</v>
      </c>
      <c r="BP45" s="1095">
        <f t="shared" si="66"/>
        <v>67889.720321944013</v>
      </c>
      <c r="BQ45" s="1095">
        <f t="shared" si="66"/>
        <v>69730.125433422305</v>
      </c>
      <c r="BR45" s="1095">
        <f t="shared" si="66"/>
        <v>71815.61977003995</v>
      </c>
      <c r="BS45" s="175"/>
    </row>
    <row r="46" spans="1:71" s="427" customFormat="1" ht="15">
      <c r="A46" s="266" t="str">
        <f>INDEX(MO_RIS_Loss,0,COLUMN())</f>
        <v>Loss and LAE</v>
      </c>
      <c r="B46" s="267"/>
      <c r="C46" s="1097">
        <f t="shared" si="67" ref="C46:AZ46">INDEX(MO_RIS_Loss,0,COLUMN())</f>
        <v>20363</v>
      </c>
      <c r="D46" s="1097">
        <f t="shared" si="67"/>
        <v>20766</v>
      </c>
      <c r="E46" s="1097">
        <f t="shared" si="67"/>
        <v>21922</v>
      </c>
      <c r="F46" s="1097">
        <f t="shared" si="67"/>
        <v>20302</v>
      </c>
      <c r="G46" s="1097">
        <f t="shared" si="67"/>
        <v>19828</v>
      </c>
      <c r="H46" s="177">
        <f t="shared" si="67"/>
        <v>5247</v>
      </c>
      <c r="I46" s="177">
        <f t="shared" si="67"/>
        <v>5555</v>
      </c>
      <c r="J46" s="177">
        <f t="shared" si="67"/>
        <v>5342</v>
      </c>
      <c r="K46" s="177">
        <f t="shared" si="67"/>
        <v>5049</v>
      </c>
      <c r="L46" s="1097">
        <f t="shared" si="67"/>
        <v>21193</v>
      </c>
      <c r="M46" s="177">
        <f t="shared" si="67"/>
        <v>5434</v>
      </c>
      <c r="N46" s="177">
        <f t="shared" si="67"/>
        <v>6033</v>
      </c>
      <c r="O46" s="177">
        <f t="shared" si="67"/>
        <v>5715</v>
      </c>
      <c r="P46" s="177">
        <f t="shared" si="67"/>
        <v>5655</v>
      </c>
      <c r="Q46" s="1097">
        <f t="shared" si="67"/>
        <v>22837</v>
      </c>
      <c r="R46" s="177">
        <f t="shared" si="67"/>
        <v>6139</v>
      </c>
      <c r="S46" s="177">
        <f t="shared" si="67"/>
        <v>6355</v>
      </c>
      <c r="T46" s="177">
        <f t="shared" si="67"/>
        <v>6037</v>
      </c>
      <c r="U46" s="177">
        <f t="shared" si="67"/>
        <v>5547</v>
      </c>
      <c r="V46" s="1097">
        <f t="shared" si="67"/>
        <v>24078</v>
      </c>
      <c r="W46" s="177">
        <f t="shared" si="67"/>
        <v>5890</v>
      </c>
      <c r="X46" s="177">
        <f t="shared" si="67"/>
        <v>6175</v>
      </c>
      <c r="Y46" s="177">
        <f t="shared" si="67"/>
        <v>6001</v>
      </c>
      <c r="Z46" s="177">
        <f t="shared" si="67"/>
        <v>5786</v>
      </c>
      <c r="AA46" s="1097">
        <f t="shared" si="67"/>
        <v>23852</v>
      </c>
      <c r="AB46" s="177">
        <f t="shared" si="67"/>
        <v>5653</v>
      </c>
      <c r="AC46" s="177">
        <f t="shared" si="67"/>
        <v>6275</v>
      </c>
      <c r="AD46" s="177">
        <f t="shared" si="67"/>
        <v>6315</v>
      </c>
      <c r="AE46" s="177">
        <f t="shared" si="67"/>
        <v>6569</v>
      </c>
      <c r="AF46" s="1097">
        <f t="shared" si="67"/>
        <v>24812</v>
      </c>
      <c r="AG46" s="177">
        <f t="shared" si="67"/>
        <v>6317</v>
      </c>
      <c r="AH46" s="177">
        <f t="shared" si="67"/>
        <v>6867</v>
      </c>
      <c r="AI46" s="177">
        <f t="shared" si="67"/>
        <v>6564</v>
      </c>
      <c r="AJ46" s="177">
        <f t="shared" si="67"/>
        <v>6267</v>
      </c>
      <c r="AK46" s="1097">
        <f t="shared" si="67"/>
        <v>26015</v>
      </c>
      <c r="AL46" s="177">
        <f>INDEX(MO_RIS_Loss,0,COLUMN())</f>
        <v>5482</v>
      </c>
      <c r="AM46" s="177">
        <f>INDEX(MO_RIS_Loss,0,COLUMN())</f>
        <v>5345</v>
      </c>
      <c r="AN46" s="177">
        <f>INDEX(MO_RIS_Loss,0,COLUMN())</f>
        <v>6200</v>
      </c>
      <c r="AO46" s="177">
        <f t="shared" si="67"/>
        <v>5490</v>
      </c>
      <c r="AP46" s="1097">
        <f t="shared" si="67"/>
        <v>22517</v>
      </c>
      <c r="AQ46" s="177">
        <f>INDEX(MO_RIS_Loss,0,COLUMN())</f>
        <v>6276</v>
      </c>
      <c r="AR46" s="177">
        <f>INDEX(MO_RIS_Loss,0,COLUMN())</f>
        <v>7451</v>
      </c>
      <c r="AS46" s="177">
        <f>INDEX(MO_RIS_Loss,0,COLUMN())</f>
        <v>8533</v>
      </c>
      <c r="AT46" s="177">
        <f t="shared" si="67"/>
        <v>8073</v>
      </c>
      <c r="AU46" s="1097">
        <f t="shared" si="67"/>
        <v>30333</v>
      </c>
      <c r="AV46" s="177">
        <f>INDEX(MO_RIS_Loss,0,COLUMN())</f>
        <v>8090</v>
      </c>
      <c r="AW46" s="177">
        <f>INDEX(MO_RIS_Loss,0,COLUMN())</f>
        <v>9632</v>
      </c>
      <c r="AX46" s="177">
        <f>INDEX(MO_RIS_Loss,0,COLUMN())</f>
        <v>10325</v>
      </c>
      <c r="AY46" s="177">
        <f t="shared" si="67"/>
        <v>10259</v>
      </c>
      <c r="AZ46" s="1097">
        <f t="shared" si="67"/>
        <v>38306</v>
      </c>
      <c r="BA46" s="177">
        <f>INDEX(MO_RIS_Loss,0,COLUMN())</f>
        <v>10591</v>
      </c>
      <c r="BB46" s="177">
        <f>INDEX(MO_RIS_Loss,0,COLUMN())</f>
        <v>11985</v>
      </c>
      <c r="BC46" s="177">
        <f>INDEX(MO_RIS_Loss,0,COLUMN())</f>
        <v>10499</v>
      </c>
      <c r="BD46" s="177">
        <f>INDEX(MO_RIS_Loss,0,COLUMN())</f>
        <v>9066</v>
      </c>
      <c r="BE46" s="1097">
        <f>INDEX(MO_RIS_Loss,0,COLUMN())</f>
        <v>42141</v>
      </c>
      <c r="BF46" s="177">
        <f t="shared" si="68" ref="BF46:BJ46">INDEX(MO_RIS_Loss,0,COLUMN())</f>
        <v>9797</v>
      </c>
      <c r="BG46" s="177">
        <f t="shared" si="68"/>
        <v>11092</v>
      </c>
      <c r="BH46" s="779">
        <f>INDEX(MO_RIS_Loss,0,COLUMN())</f>
        <v>10726</v>
      </c>
      <c r="BI46" s="177">
        <f t="shared" si="68"/>
        <v>9689.3634949999978</v>
      </c>
      <c r="BJ46" s="1097">
        <f t="shared" si="68"/>
        <v>41304.363494999998</v>
      </c>
      <c r="BK46" s="177">
        <f t="shared" si="69" ref="BK46:BR46">INDEX(MO_RIS_Loss,0,COLUMN())</f>
        <v>10089.265452</v>
      </c>
      <c r="BL46" s="177">
        <f t="shared" si="69"/>
        <v>11719.846039000002</v>
      </c>
      <c r="BM46" s="177">
        <f t="shared" si="69"/>
        <v>11637.379164</v>
      </c>
      <c r="BN46" s="177">
        <f t="shared" si="69"/>
        <v>10250.34817315</v>
      </c>
      <c r="BO46" s="1097">
        <f t="shared" si="69"/>
        <v>43696.838828150001</v>
      </c>
      <c r="BP46" s="1097">
        <f t="shared" si="69"/>
        <v>43207.997018653499</v>
      </c>
      <c r="BQ46" s="1097">
        <f t="shared" si="69"/>
        <v>44388.289808734757</v>
      </c>
      <c r="BR46" s="1097">
        <f t="shared" si="69"/>
        <v>45726.838580684795</v>
      </c>
      <c r="BS46" s="177"/>
    </row>
    <row r="47" spans="1:71" s="427" customFormat="1" ht="15">
      <c r="A47" s="266" t="str">
        <f>INDEX(MO_RIS_OOE,0,COLUMN())</f>
        <v>Other Operating Expense</v>
      </c>
      <c r="B47" s="267"/>
      <c r="C47" s="1097">
        <f t="shared" si="70" ref="C47:AZ47">INDEX(MO_RIS_OOE,0,COLUMN())</f>
        <v>10017</v>
      </c>
      <c r="D47" s="1097">
        <f t="shared" si="70"/>
        <v>9152</v>
      </c>
      <c r="E47" s="1097">
        <f t="shared" si="70"/>
        <v>9399</v>
      </c>
      <c r="F47" s="1097">
        <f t="shared" si="70"/>
        <v>9352</v>
      </c>
      <c r="G47" s="1097">
        <f t="shared" si="70"/>
        <v>9737</v>
      </c>
      <c r="H47" s="177">
        <f t="shared" si="70"/>
        <v>2442</v>
      </c>
      <c r="I47" s="177">
        <f t="shared" si="70"/>
        <v>2274</v>
      </c>
      <c r="J47" s="177">
        <f t="shared" si="70"/>
        <v>2299</v>
      </c>
      <c r="K47" s="177">
        <f t="shared" si="70"/>
        <v>2398</v>
      </c>
      <c r="L47" s="1097">
        <f t="shared" si="70"/>
        <v>9413</v>
      </c>
      <c r="M47" s="177">
        <f t="shared" si="70"/>
        <v>2363</v>
      </c>
      <c r="N47" s="177">
        <f t="shared" si="70"/>
        <v>2351</v>
      </c>
      <c r="O47" s="177">
        <f t="shared" si="70"/>
        <v>2287</v>
      </c>
      <c r="P47" s="177">
        <f t="shared" si="70"/>
        <v>2244</v>
      </c>
      <c r="Q47" s="1097">
        <f t="shared" si="70"/>
        <v>9245</v>
      </c>
      <c r="R47" s="177">
        <f t="shared" si="70"/>
        <v>2306</v>
      </c>
      <c r="S47" s="177">
        <f t="shared" si="70"/>
        <v>2362</v>
      </c>
      <c r="T47" s="177">
        <f t="shared" si="70"/>
        <v>2347</v>
      </c>
      <c r="U47" s="177">
        <f t="shared" si="70"/>
        <v>2397</v>
      </c>
      <c r="V47" s="1097">
        <f t="shared" si="70"/>
        <v>9412</v>
      </c>
      <c r="W47" s="177">
        <f t="shared" si="70"/>
        <v>2449</v>
      </c>
      <c r="X47" s="177">
        <f t="shared" si="70"/>
        <v>2490</v>
      </c>
      <c r="Y47" s="177">
        <f t="shared" si="70"/>
        <v>2606</v>
      </c>
      <c r="Z47" s="177">
        <f t="shared" si="70"/>
        <v>2821</v>
      </c>
      <c r="AA47" s="1097">
        <f t="shared" si="70"/>
        <v>10366</v>
      </c>
      <c r="AB47" s="177">
        <f t="shared" si="70"/>
        <v>2811</v>
      </c>
      <c r="AC47" s="177">
        <f t="shared" si="70"/>
        <v>2895</v>
      </c>
      <c r="AD47" s="177">
        <f t="shared" si="70"/>
        <v>3030</v>
      </c>
      <c r="AE47" s="177">
        <f t="shared" si="70"/>
        <v>3197</v>
      </c>
      <c r="AF47" s="1097">
        <f t="shared" si="70"/>
        <v>11933</v>
      </c>
      <c r="AG47" s="177">
        <f t="shared" si="70"/>
        <v>2956</v>
      </c>
      <c r="AH47" s="177">
        <f t="shared" si="70"/>
        <v>2994</v>
      </c>
      <c r="AI47" s="177">
        <f t="shared" si="70"/>
        <v>3040</v>
      </c>
      <c r="AJ47" s="177">
        <f t="shared" si="70"/>
        <v>3146</v>
      </c>
      <c r="AK47" s="1097">
        <f t="shared" si="70"/>
        <v>12136</v>
      </c>
      <c r="AL47" s="177">
        <f>INDEX(MO_RIS_OOE,0,COLUMN())</f>
        <v>2954</v>
      </c>
      <c r="AM47" s="177">
        <f>INDEX(MO_RIS_OOE,0,COLUMN())</f>
        <v>3527</v>
      </c>
      <c r="AN47" s="177">
        <f>INDEX(MO_RIS_OOE,0,COLUMN())</f>
        <v>2943</v>
      </c>
      <c r="AO47" s="177">
        <f t="shared" si="70"/>
        <v>2899</v>
      </c>
      <c r="AP47" s="1097">
        <f t="shared" si="70"/>
        <v>12323</v>
      </c>
      <c r="AQ47" s="177">
        <f>INDEX(MO_RIS_OOE,0,COLUMN())</f>
        <v>3367</v>
      </c>
      <c r="AR47" s="177">
        <f>INDEX(MO_RIS_OOE,0,COLUMN())</f>
        <v>3441</v>
      </c>
      <c r="AS47" s="177">
        <f>INDEX(MO_RIS_OOE,0,COLUMN())</f>
        <v>3612</v>
      </c>
      <c r="AT47" s="177">
        <f t="shared" si="70"/>
        <v>3701</v>
      </c>
      <c r="AU47" s="1097">
        <f t="shared" si="70"/>
        <v>14121</v>
      </c>
      <c r="AV47" s="177">
        <f>INDEX(MO_RIS_OOE,0,COLUMN())</f>
        <v>3609</v>
      </c>
      <c r="AW47" s="177">
        <f>INDEX(MO_RIS_OOE,0,COLUMN())</f>
        <v>3556</v>
      </c>
      <c r="AX47" s="177">
        <f>INDEX(MO_RIS_OOE,0,COLUMN())</f>
        <v>3629</v>
      </c>
      <c r="AY47" s="177">
        <f t="shared" si="70"/>
        <v>3690</v>
      </c>
      <c r="AZ47" s="1097">
        <f t="shared" si="70"/>
        <v>14484</v>
      </c>
      <c r="BA47" s="177">
        <f>INDEX(MO_RIS_OOE,0,COLUMN())</f>
        <v>3568</v>
      </c>
      <c r="BB47" s="177">
        <f>INDEX(MO_RIS_OOE,0,COLUMN())</f>
        <v>3684</v>
      </c>
      <c r="BC47" s="177">
        <f>INDEX(MO_RIS_OOE,0,COLUMN())</f>
        <v>3782</v>
      </c>
      <c r="BD47" s="177">
        <f>INDEX(MO_RIS_OOE,0,COLUMN())</f>
        <v>3879</v>
      </c>
      <c r="BE47" s="1097">
        <f>INDEX(MO_RIS_OOE,0,COLUMN())</f>
        <v>14913</v>
      </c>
      <c r="BF47" s="177">
        <f t="shared" si="71" ref="BF47:BJ47">INDEX(MO_RIS_OOE,0,COLUMN())</f>
        <v>3903</v>
      </c>
      <c r="BG47" s="177">
        <f t="shared" si="71"/>
        <v>4103</v>
      </c>
      <c r="BH47" s="779">
        <f>INDEX(MO_RIS_OOE,0,COLUMN())</f>
        <v>4353</v>
      </c>
      <c r="BI47" s="177">
        <f t="shared" si="71"/>
        <v>3935.7645300000004</v>
      </c>
      <c r="BJ47" s="1097">
        <f t="shared" si="71"/>
        <v>16294.76453</v>
      </c>
      <c r="BK47" s="177">
        <f t="shared" si="72" ref="BK47:BR47">INDEX(MO_RIS_OOE,0,COLUMN())</f>
        <v>3952.2325600000004</v>
      </c>
      <c r="BL47" s="177">
        <f t="shared" si="72"/>
        <v>4238.9953800000003</v>
      </c>
      <c r="BM47" s="177">
        <f t="shared" si="72"/>
        <v>4376.6397550000002</v>
      </c>
      <c r="BN47" s="177">
        <f t="shared" si="72"/>
        <v>4163.6248568999999</v>
      </c>
      <c r="BO47" s="1097">
        <f t="shared" si="72"/>
        <v>16731.492551900003</v>
      </c>
      <c r="BP47" s="1097">
        <f t="shared" si="72"/>
        <v>17098.938891059672</v>
      </c>
      <c r="BQ47" s="1097">
        <f t="shared" si="72"/>
        <v>17587.915956073193</v>
      </c>
      <c r="BR47" s="1097">
        <f t="shared" si="72"/>
        <v>18137.620626016189</v>
      </c>
      <c r="BS47" s="177"/>
    </row>
    <row r="48" spans="1:71" s="427" customFormat="1" ht="15">
      <c r="A48" s="266" t="str">
        <f>INDEX(MO_RIS_IE,0,COLUMN())</f>
        <v>Interest Expense</v>
      </c>
      <c r="B48" s="267"/>
      <c r="C48" s="1097">
        <f t="shared" si="73" ref="C48:AZ48">INDEX(MO_RIS_IE,0,COLUMN())</f>
        <v>392</v>
      </c>
      <c r="D48" s="1097">
        <f t="shared" si="73"/>
        <v>367</v>
      </c>
      <c r="E48" s="1097">
        <f t="shared" si="73"/>
        <v>367</v>
      </c>
      <c r="F48" s="1097">
        <f t="shared" si="73"/>
        <v>373</v>
      </c>
      <c r="G48" s="1097">
        <f t="shared" si="73"/>
        <v>367</v>
      </c>
      <c r="H48" s="177">
        <f t="shared" si="73"/>
        <v>87</v>
      </c>
      <c r="I48" s="177">
        <f t="shared" si="73"/>
        <v>84</v>
      </c>
      <c r="J48" s="177">
        <f t="shared" si="73"/>
        <v>78</v>
      </c>
      <c r="K48" s="177">
        <f t="shared" si="73"/>
        <v>73</v>
      </c>
      <c r="L48" s="1097">
        <f t="shared" si="73"/>
        <v>322</v>
      </c>
      <c r="M48" s="177">
        <f t="shared" si="73"/>
        <v>73</v>
      </c>
      <c r="N48" s="177">
        <f t="shared" si="73"/>
        <v>73</v>
      </c>
      <c r="O48" s="177">
        <f t="shared" si="73"/>
        <v>73</v>
      </c>
      <c r="P48" s="177">
        <f t="shared" si="73"/>
        <v>73</v>
      </c>
      <c r="Q48" s="1097">
        <f t="shared" si="73"/>
        <v>292</v>
      </c>
      <c r="R48" s="177">
        <f t="shared" si="73"/>
        <v>73</v>
      </c>
      <c r="S48" s="177">
        <f t="shared" si="73"/>
        <v>72</v>
      </c>
      <c r="T48" s="177">
        <f t="shared" si="73"/>
        <v>73</v>
      </c>
      <c r="U48" s="177">
        <f t="shared" si="73"/>
        <v>77</v>
      </c>
      <c r="V48" s="1097">
        <f t="shared" si="73"/>
        <v>295</v>
      </c>
      <c r="W48" s="177">
        <f t="shared" si="73"/>
        <v>85</v>
      </c>
      <c r="X48" s="177">
        <f t="shared" si="73"/>
        <v>83</v>
      </c>
      <c r="Y48" s="177">
        <f t="shared" si="73"/>
        <v>83</v>
      </c>
      <c r="Z48" s="177">
        <f t="shared" si="73"/>
        <v>84</v>
      </c>
      <c r="AA48" s="1097">
        <f t="shared" si="73"/>
        <v>335</v>
      </c>
      <c r="AB48" s="177">
        <f t="shared" si="73"/>
        <v>83</v>
      </c>
      <c r="AC48" s="177">
        <f t="shared" si="73"/>
        <v>86</v>
      </c>
      <c r="AD48" s="177">
        <f t="shared" si="73"/>
        <v>82</v>
      </c>
      <c r="AE48" s="177">
        <f t="shared" si="73"/>
        <v>81</v>
      </c>
      <c r="AF48" s="1097">
        <f t="shared" si="73"/>
        <v>332</v>
      </c>
      <c r="AG48" s="177">
        <f t="shared" si="73"/>
        <v>83</v>
      </c>
      <c r="AH48" s="177">
        <f t="shared" si="73"/>
        <v>82</v>
      </c>
      <c r="AI48" s="177">
        <f t="shared" si="73"/>
        <v>80</v>
      </c>
      <c r="AJ48" s="177">
        <f t="shared" si="73"/>
        <v>82</v>
      </c>
      <c r="AK48" s="1097">
        <f t="shared" si="73"/>
        <v>327</v>
      </c>
      <c r="AL48" s="177">
        <f>INDEX(MO_RIS_IE,0,COLUMN())</f>
        <v>81</v>
      </c>
      <c r="AM48" s="177">
        <f>INDEX(MO_RIS_IE,0,COLUMN())</f>
        <v>79</v>
      </c>
      <c r="AN48" s="177">
        <f>INDEX(MO_RIS_IE,0,COLUMN())</f>
        <v>78</v>
      </c>
      <c r="AO48" s="177">
        <f t="shared" si="73"/>
        <v>80</v>
      </c>
      <c r="AP48" s="1097">
        <f t="shared" si="73"/>
        <v>318</v>
      </c>
      <c r="AQ48" s="177">
        <f>INDEX(MO_RIS_IE,0,COLUMN())</f>
        <v>86</v>
      </c>
      <c r="AR48" s="177">
        <f>INDEX(MO_RIS_IE,0,COLUMN())</f>
        <v>91</v>
      </c>
      <c r="AS48" s="177">
        <f>INDEX(MO_RIS_IE,0,COLUMN())</f>
        <v>69</v>
      </c>
      <c r="AT48" s="177">
        <f t="shared" si="73"/>
        <v>84</v>
      </c>
      <c r="AU48" s="1097">
        <f t="shared" si="73"/>
        <v>330</v>
      </c>
      <c r="AV48" s="177">
        <f>INDEX(MO_RIS_IE,0,COLUMN())</f>
        <v>83</v>
      </c>
      <c r="AW48" s="177">
        <f>INDEX(MO_RIS_IE,0,COLUMN())</f>
        <v>83</v>
      </c>
      <c r="AX48" s="177">
        <f>INDEX(MO_RIS_IE,0,COLUMN())</f>
        <v>85</v>
      </c>
      <c r="AY48" s="177">
        <f t="shared" si="73"/>
        <v>84</v>
      </c>
      <c r="AZ48" s="1097">
        <f t="shared" si="73"/>
        <v>335</v>
      </c>
      <c r="BA48" s="177">
        <f>INDEX(MO_RIS_IE,0,COLUMN())</f>
        <v>86</v>
      </c>
      <c r="BB48" s="177">
        <f>INDEX(MO_RIS_IE,0,COLUMN())</f>
        <v>98</v>
      </c>
      <c r="BC48" s="177">
        <f>INDEX(MO_RIS_IE,0,COLUMN())</f>
        <v>88</v>
      </c>
      <c r="BD48" s="177">
        <f>INDEX(MO_RIS_IE,0,COLUMN())</f>
        <v>107</v>
      </c>
      <c r="BE48" s="1097">
        <f>INDEX(MO_RIS_IE,0,COLUMN())</f>
        <v>379</v>
      </c>
      <c r="BF48" s="177">
        <f t="shared" si="74" ref="BF48:BJ48">INDEX(MO_RIS_IE,0,COLUMN())</f>
        <v>97</v>
      </c>
      <c r="BG48" s="177">
        <f t="shared" si="74"/>
        <v>98</v>
      </c>
      <c r="BH48" s="779">
        <f>INDEX(MO_RIS_IE,0,COLUMN())</f>
        <v>104</v>
      </c>
      <c r="BI48" s="177">
        <f t="shared" si="74"/>
        <v>89.398863387978139</v>
      </c>
      <c r="BJ48" s="1097">
        <f t="shared" si="74"/>
        <v>388.39886338797817</v>
      </c>
      <c r="BK48" s="177">
        <f t="shared" si="75" ref="BK48:BR48">INDEX(MO_RIS_IE,0,COLUMN())</f>
        <v>87.695013698630135</v>
      </c>
      <c r="BL48" s="177">
        <f t="shared" si="75"/>
        <v>88.669402739726024</v>
      </c>
      <c r="BM48" s="177">
        <f t="shared" si="75"/>
        <v>89.643791780821914</v>
      </c>
      <c r="BN48" s="177">
        <f t="shared" si="75"/>
        <v>89.643791780821914</v>
      </c>
      <c r="BO48" s="1097">
        <f t="shared" si="75"/>
        <v>355.65199999999999</v>
      </c>
      <c r="BP48" s="1097">
        <f t="shared" si="75"/>
        <v>355.65199999999999</v>
      </c>
      <c r="BQ48" s="1097">
        <f t="shared" si="75"/>
        <v>355.65199999999999</v>
      </c>
      <c r="BR48" s="1097">
        <f t="shared" si="75"/>
        <v>355.65199999999999</v>
      </c>
      <c r="BS48" s="177"/>
    </row>
    <row r="49" spans="1:71" s="427" customFormat="1" ht="15">
      <c r="A49" s="266" t="str">
        <f>INDEX(MO_RIS_OI,0,COLUMN())</f>
        <v>Other Items</v>
      </c>
      <c r="B49" s="267"/>
      <c r="C49" s="1097">
        <f t="shared" si="76" ref="C49:AZ49">INDEX(MO_RIS_OI,0,COLUMN())</f>
        <v>0</v>
      </c>
      <c r="D49" s="1097">
        <f t="shared" si="76"/>
        <v>0</v>
      </c>
      <c r="E49" s="1097">
        <f t="shared" si="76"/>
        <v>0</v>
      </c>
      <c r="F49" s="1097">
        <f t="shared" si="76"/>
        <v>0</v>
      </c>
      <c r="G49" s="1097">
        <f t="shared" si="76"/>
        <v>0</v>
      </c>
      <c r="H49" s="177">
        <f t="shared" si="76"/>
        <v>0</v>
      </c>
      <c r="I49" s="177">
        <f t="shared" si="76"/>
        <v>0</v>
      </c>
      <c r="J49" s="177">
        <f t="shared" si="76"/>
        <v>0</v>
      </c>
      <c r="K49" s="177">
        <f t="shared" si="76"/>
        <v>0</v>
      </c>
      <c r="L49" s="1097">
        <f t="shared" si="76"/>
        <v>0</v>
      </c>
      <c r="M49" s="177">
        <f t="shared" si="76"/>
        <v>0</v>
      </c>
      <c r="N49" s="177">
        <f t="shared" si="76"/>
        <v>0</v>
      </c>
      <c r="O49" s="177">
        <f t="shared" si="76"/>
        <v>0</v>
      </c>
      <c r="P49" s="177">
        <f t="shared" si="76"/>
        <v>0</v>
      </c>
      <c r="Q49" s="1097">
        <f t="shared" si="76"/>
        <v>0</v>
      </c>
      <c r="R49" s="177">
        <f t="shared" si="76"/>
        <v>0</v>
      </c>
      <c r="S49" s="177">
        <f t="shared" si="76"/>
        <v>0</v>
      </c>
      <c r="T49" s="177">
        <f t="shared" si="76"/>
        <v>0</v>
      </c>
      <c r="U49" s="177">
        <f t="shared" si="76"/>
        <v>0</v>
      </c>
      <c r="V49" s="1097">
        <f t="shared" si="76"/>
        <v>0</v>
      </c>
      <c r="W49" s="177">
        <f t="shared" si="76"/>
        <v>0</v>
      </c>
      <c r="X49" s="177">
        <f t="shared" si="76"/>
        <v>0</v>
      </c>
      <c r="Y49" s="177">
        <f t="shared" si="76"/>
        <v>0</v>
      </c>
      <c r="Z49" s="177">
        <f t="shared" si="76"/>
        <v>0</v>
      </c>
      <c r="AA49" s="1097">
        <f t="shared" si="76"/>
        <v>0</v>
      </c>
      <c r="AB49" s="177">
        <f t="shared" si="76"/>
        <v>0</v>
      </c>
      <c r="AC49" s="177">
        <f t="shared" si="76"/>
        <v>0</v>
      </c>
      <c r="AD49" s="177">
        <f t="shared" si="76"/>
        <v>0</v>
      </c>
      <c r="AE49" s="177">
        <f t="shared" si="76"/>
        <v>0</v>
      </c>
      <c r="AF49" s="1097">
        <f t="shared" si="76"/>
        <v>0</v>
      </c>
      <c r="AG49" s="177">
        <f t="shared" si="76"/>
        <v>15</v>
      </c>
      <c r="AH49" s="177">
        <f t="shared" si="76"/>
        <v>125</v>
      </c>
      <c r="AI49" s="177">
        <f t="shared" si="76"/>
        <v>225</v>
      </c>
      <c r="AJ49" s="177">
        <f t="shared" si="76"/>
        <v>-251</v>
      </c>
      <c r="AK49" s="1097">
        <f t="shared" si="76"/>
        <v>114</v>
      </c>
      <c r="AL49" s="177">
        <f>INDEX(MO_RIS_OI,0,COLUMN())</f>
        <v>318</v>
      </c>
      <c r="AM49" s="177">
        <f>INDEX(MO_RIS_OI,0,COLUMN())</f>
        <v>73</v>
      </c>
      <c r="AN49" s="177">
        <f>INDEX(MO_RIS_OI,0,COLUMN())</f>
        <v>-71</v>
      </c>
      <c r="AO49" s="177">
        <f t="shared" si="76"/>
        <v>-371</v>
      </c>
      <c r="AP49" s="1097">
        <f t="shared" si="76"/>
        <v>-51</v>
      </c>
      <c r="AQ49" s="177">
        <f>INDEX(MO_RIS_OI,0,COLUMN())</f>
        <v>-310</v>
      </c>
      <c r="AR49" s="177">
        <f>INDEX(MO_RIS_OI,0,COLUMN())</f>
        <v>-134</v>
      </c>
      <c r="AS49" s="177">
        <f>INDEX(MO_RIS_OI,0,COLUMN())</f>
        <v>40</v>
      </c>
      <c r="AT49" s="177">
        <f t="shared" si="76"/>
        <v>-240</v>
      </c>
      <c r="AU49" s="1097">
        <f t="shared" si="76"/>
        <v>-644</v>
      </c>
      <c r="AV49" s="177">
        <f>INDEX(MO_RIS_OI,0,COLUMN())</f>
        <v>-247</v>
      </c>
      <c r="AW49" s="177">
        <f>INDEX(MO_RIS_OI,0,COLUMN())</f>
        <v>259</v>
      </c>
      <c r="AX49" s="177">
        <f>INDEX(MO_RIS_OI,0,COLUMN())</f>
        <v>79</v>
      </c>
      <c r="AY49" s="177">
        <f t="shared" si="76"/>
        <v>25</v>
      </c>
      <c r="AZ49" s="1097">
        <f t="shared" si="76"/>
        <v>116</v>
      </c>
      <c r="BA49" s="177">
        <f>INDEX(MO_RIS_OI,0,COLUMN())</f>
        <v>-53</v>
      </c>
      <c r="BB49" s="177">
        <f>INDEX(MO_RIS_OI,0,COLUMN())</f>
        <v>-40</v>
      </c>
      <c r="BC49" s="177">
        <f>INDEX(MO_RIS_OI,0,COLUMN())</f>
        <v>149</v>
      </c>
      <c r="BD49" s="177">
        <f>INDEX(MO_RIS_OI,0,COLUMN())</f>
        <v>-47</v>
      </c>
      <c r="BE49" s="1097">
        <f>INDEX(MO_RIS_OI,0,COLUMN())</f>
        <v>9</v>
      </c>
      <c r="BF49" s="177">
        <f t="shared" si="77" ref="BF49:BJ49">INDEX(MO_RIS_OI,0,COLUMN())</f>
        <v>-2</v>
      </c>
      <c r="BG49" s="177">
        <f t="shared" si="77"/>
        <v>-9</v>
      </c>
      <c r="BH49" s="779">
        <f>INDEX(MO_RIS_OI,0,COLUMN())</f>
        <v>26</v>
      </c>
      <c r="BI49" s="177">
        <f t="shared" si="77"/>
        <v>0</v>
      </c>
      <c r="BJ49" s="1097">
        <f t="shared" si="77"/>
        <v>15</v>
      </c>
      <c r="BK49" s="177">
        <f t="shared" si="78" ref="BK49:BR49">INDEX(MO_RIS_OI,0,COLUMN())</f>
        <v>0</v>
      </c>
      <c r="BL49" s="177">
        <f t="shared" si="78"/>
        <v>0</v>
      </c>
      <c r="BM49" s="177">
        <f t="shared" si="78"/>
        <v>0</v>
      </c>
      <c r="BN49" s="177">
        <f t="shared" si="78"/>
        <v>0</v>
      </c>
      <c r="BO49" s="1097">
        <f t="shared" si="78"/>
        <v>0</v>
      </c>
      <c r="BP49" s="1097">
        <f t="shared" si="78"/>
        <v>0</v>
      </c>
      <c r="BQ49" s="1097">
        <f t="shared" si="78"/>
        <v>0</v>
      </c>
      <c r="BR49" s="1097">
        <f t="shared" si="78"/>
        <v>0</v>
      </c>
      <c r="BS49" s="177"/>
    </row>
    <row r="50" spans="1:71" s="427" customFormat="1" ht="15">
      <c r="A50" s="268" t="str">
        <f>INDEX(MO_RIS_OTI,0,COLUMN())</f>
        <v>One-time Items</v>
      </c>
      <c r="B50" s="269"/>
      <c r="C50" s="1098">
        <f t="shared" si="79" ref="C50:AZ50">INDEX(MO_RIS_OTI,0,COLUMN())</f>
        <v>-7</v>
      </c>
      <c r="D50" s="1098">
        <f t="shared" si="79"/>
        <v>-11</v>
      </c>
      <c r="E50" s="1098">
        <f t="shared" si="79"/>
        <v>7</v>
      </c>
      <c r="F50" s="1098">
        <f t="shared" si="79"/>
        <v>-18</v>
      </c>
      <c r="G50" s="1098">
        <f t="shared" si="79"/>
        <v>1179</v>
      </c>
      <c r="H50" s="179">
        <f t="shared" si="79"/>
        <v>59</v>
      </c>
      <c r="I50" s="179">
        <f t="shared" si="79"/>
        <v>-8</v>
      </c>
      <c r="J50" s="179">
        <f t="shared" si="79"/>
        <v>27</v>
      </c>
      <c r="K50" s="179">
        <f t="shared" si="79"/>
        <v>-3</v>
      </c>
      <c r="L50" s="1098">
        <f t="shared" si="79"/>
        <v>75</v>
      </c>
      <c r="M50" s="179">
        <f t="shared" si="79"/>
        <v>1</v>
      </c>
      <c r="N50" s="179">
        <f t="shared" si="79"/>
        <v>-1</v>
      </c>
      <c r="O50" s="179">
        <f t="shared" si="79"/>
        <v>-2</v>
      </c>
      <c r="P50" s="179">
        <f t="shared" si="79"/>
        <v>-1</v>
      </c>
      <c r="Q50" s="1098">
        <f t="shared" si="79"/>
        <v>-3</v>
      </c>
      <c r="R50" s="179">
        <f t="shared" si="79"/>
        <v>-2</v>
      </c>
      <c r="S50" s="179">
        <f t="shared" si="79"/>
        <v>-1</v>
      </c>
      <c r="T50" s="179">
        <f t="shared" si="79"/>
        <v>-1</v>
      </c>
      <c r="U50" s="179">
        <f t="shared" si="79"/>
        <v>-1</v>
      </c>
      <c r="V50" s="1098">
        <f t="shared" si="79"/>
        <v>-5</v>
      </c>
      <c r="W50" s="179">
        <f t="shared" si="79"/>
        <v>-2</v>
      </c>
      <c r="X50" s="179">
        <f t="shared" si="79"/>
        <v>-12</v>
      </c>
      <c r="Y50" s="179">
        <f t="shared" si="79"/>
        <v>-1</v>
      </c>
      <c r="Z50" s="179">
        <f t="shared" si="79"/>
        <v>-5</v>
      </c>
      <c r="AA50" s="1098">
        <f t="shared" si="79"/>
        <v>-20</v>
      </c>
      <c r="AB50" s="179">
        <f t="shared" si="79"/>
        <v>-1</v>
      </c>
      <c r="AC50" s="179">
        <f t="shared" si="79"/>
        <v>-2</v>
      </c>
      <c r="AD50" s="179">
        <f t="shared" si="79"/>
        <v>-1</v>
      </c>
      <c r="AE50" s="179">
        <f t="shared" si="79"/>
        <v>-2</v>
      </c>
      <c r="AF50" s="1098">
        <f t="shared" si="79"/>
        <v>-6</v>
      </c>
      <c r="AG50" s="179">
        <f t="shared" si="79"/>
        <v>-1</v>
      </c>
      <c r="AH50" s="179">
        <f t="shared" si="79"/>
        <v>-2</v>
      </c>
      <c r="AI50" s="179">
        <f t="shared" si="79"/>
        <v>0</v>
      </c>
      <c r="AJ50" s="179">
        <f t="shared" si="79"/>
        <v>-3</v>
      </c>
      <c r="AK50" s="1098">
        <f t="shared" si="79"/>
        <v>-6</v>
      </c>
      <c r="AL50" s="179">
        <f>INDEX(MO_RIS_OTI,0,COLUMN())</f>
        <v>0</v>
      </c>
      <c r="AM50" s="179">
        <f>INDEX(MO_RIS_OTI,0,COLUMN())</f>
        <v>0</v>
      </c>
      <c r="AN50" s="179">
        <f>INDEX(MO_RIS_OTI,0,COLUMN())</f>
        <v>0</v>
      </c>
      <c r="AO50" s="179">
        <f t="shared" si="79"/>
        <v>0</v>
      </c>
      <c r="AP50" s="1098">
        <f t="shared" si="79"/>
        <v>0</v>
      </c>
      <c r="AQ50" s="179">
        <f>INDEX(MO_RIS_OTI,0,COLUMN())</f>
        <v>0</v>
      </c>
      <c r="AR50" s="179">
        <f>INDEX(MO_RIS_OTI,0,COLUMN())</f>
        <v>0</v>
      </c>
      <c r="AS50" s="179">
        <f>INDEX(MO_RIS_OTI,0,COLUMN())</f>
        <v>0</v>
      </c>
      <c r="AT50" s="179">
        <f t="shared" si="79"/>
        <v>0</v>
      </c>
      <c r="AU50" s="1098">
        <f t="shared" si="79"/>
        <v>0</v>
      </c>
      <c r="AV50" s="179">
        <f>INDEX(MO_RIS_OTI,0,COLUMN())</f>
        <v>0</v>
      </c>
      <c r="AW50" s="179">
        <f>INDEX(MO_RIS_OTI,0,COLUMN())</f>
        <v>0</v>
      </c>
      <c r="AX50" s="179">
        <f>INDEX(MO_RIS_OTI,0,COLUMN())</f>
        <v>0</v>
      </c>
      <c r="AY50" s="179">
        <f t="shared" si="79"/>
        <v>0</v>
      </c>
      <c r="AZ50" s="1098">
        <f t="shared" si="79"/>
        <v>0</v>
      </c>
      <c r="BA50" s="179">
        <f>INDEX(MO_RIS_OTI,0,COLUMN())</f>
        <v>0</v>
      </c>
      <c r="BB50" s="179">
        <f>INDEX(MO_RIS_OTI,0,COLUMN())</f>
        <v>0</v>
      </c>
      <c r="BC50" s="179">
        <f>INDEX(MO_RIS_OTI,0,COLUMN())</f>
        <v>0</v>
      </c>
      <c r="BD50" s="179">
        <f>INDEX(MO_RIS_OTI,0,COLUMN())</f>
        <v>0</v>
      </c>
      <c r="BE50" s="1098">
        <f>INDEX(MO_RIS_OTI,0,COLUMN())</f>
        <v>0</v>
      </c>
      <c r="BF50" s="179">
        <f t="shared" si="80" ref="BF50:BJ50">INDEX(MO_RIS_OTI,0,COLUMN())</f>
        <v>0</v>
      </c>
      <c r="BG50" s="179">
        <f t="shared" si="80"/>
        <v>0</v>
      </c>
      <c r="BH50" s="780">
        <f>INDEX(MO_RIS_OTI,0,COLUMN())</f>
        <v>0</v>
      </c>
      <c r="BI50" s="179">
        <f t="shared" si="80"/>
        <v>0</v>
      </c>
      <c r="BJ50" s="1098">
        <f t="shared" si="80"/>
        <v>0</v>
      </c>
      <c r="BK50" s="179">
        <f t="shared" si="81" ref="BK50:BR50">INDEX(MO_RIS_OTI,0,COLUMN())</f>
        <v>0</v>
      </c>
      <c r="BL50" s="179">
        <f t="shared" si="81"/>
        <v>0</v>
      </c>
      <c r="BM50" s="179">
        <f t="shared" si="81"/>
        <v>0</v>
      </c>
      <c r="BN50" s="179">
        <f t="shared" si="81"/>
        <v>0</v>
      </c>
      <c r="BO50" s="1098">
        <f t="shared" si="81"/>
        <v>0</v>
      </c>
      <c r="BP50" s="1098">
        <f t="shared" si="81"/>
        <v>0</v>
      </c>
      <c r="BQ50" s="1098">
        <f t="shared" si="81"/>
        <v>0</v>
      </c>
      <c r="BR50" s="1098">
        <f t="shared" si="81"/>
        <v>0</v>
      </c>
      <c r="BS50" s="177"/>
    </row>
    <row r="51" spans="1:71" s="70" customFormat="1" ht="15">
      <c r="A51" s="261" t="str">
        <f>INDEX(MO_RIS_EBT,0,COLUMN())</f>
        <v>EBT</v>
      </c>
      <c r="B51" s="262"/>
      <c r="C51" s="1095">
        <f t="shared" si="82" ref="C51:AZ51">INDEX(SP_GF_Rev,0,COLUMN())-INDEX(SP_GF_Loss,0,COLUMN())-INDEX(SP_GF_OOE,0,COLUMN())-INDEX(SP_GF_IE,0,COLUMN())-INDEX(SP_GF_OI,0,COLUMN())-INDEX(SP_GF_OTI,0,COLUMN())</f>
        <v>1248</v>
      </c>
      <c r="D51" s="1095">
        <f t="shared" si="82"/>
        <v>1126</v>
      </c>
      <c r="E51" s="1095">
        <f t="shared" si="82"/>
        <v>959</v>
      </c>
      <c r="F51" s="1095">
        <f t="shared" si="82"/>
        <v>3306</v>
      </c>
      <c r="G51" s="1095">
        <f t="shared" si="82"/>
        <v>3396</v>
      </c>
      <c r="H51" s="173">
        <f t="shared" si="82"/>
        <v>849</v>
      </c>
      <c r="I51" s="173">
        <f t="shared" si="82"/>
        <v>955</v>
      </c>
      <c r="J51" s="173">
        <f t="shared" si="82"/>
        <v>1190</v>
      </c>
      <c r="K51" s="173">
        <f t="shared" si="82"/>
        <v>1242</v>
      </c>
      <c r="L51" s="1095">
        <f t="shared" si="82"/>
        <v>4236</v>
      </c>
      <c r="M51" s="173">
        <f t="shared" si="82"/>
        <v>1081</v>
      </c>
      <c r="N51" s="173">
        <f t="shared" si="82"/>
        <v>526</v>
      </c>
      <c r="O51" s="173">
        <f t="shared" si="82"/>
        <v>955</v>
      </c>
      <c r="P51" s="173">
        <f t="shared" si="82"/>
        <v>720</v>
      </c>
      <c r="Q51" s="1095">
        <f t="shared" si="82"/>
        <v>3282</v>
      </c>
      <c r="R51" s="173">
        <f t="shared" si="82"/>
        <v>355</v>
      </c>
      <c r="S51" s="173">
        <f t="shared" si="82"/>
        <v>376</v>
      </c>
      <c r="T51" s="173">
        <f t="shared" si="82"/>
        <v>765</v>
      </c>
      <c r="U51" s="173">
        <f t="shared" si="82"/>
        <v>1258</v>
      </c>
      <c r="V51" s="1095">
        <f t="shared" si="82"/>
        <v>2754</v>
      </c>
      <c r="W51" s="173">
        <f t="shared" si="82"/>
        <v>1012</v>
      </c>
      <c r="X51" s="173">
        <f t="shared" si="82"/>
        <v>851</v>
      </c>
      <c r="Y51" s="173">
        <f t="shared" si="82"/>
        <v>971</v>
      </c>
      <c r="Z51" s="173">
        <f t="shared" si="82"/>
        <v>1157</v>
      </c>
      <c r="AA51" s="1095">
        <f t="shared" si="82"/>
        <v>3991</v>
      </c>
      <c r="AB51" s="173">
        <f t="shared" si="82"/>
        <v>1224</v>
      </c>
      <c r="AC51" s="173">
        <f t="shared" si="82"/>
        <v>845</v>
      </c>
      <c r="AD51" s="173">
        <f t="shared" si="82"/>
        <v>1039</v>
      </c>
      <c r="AE51" s="173">
        <f t="shared" si="82"/>
        <v>-364</v>
      </c>
      <c r="AF51" s="1095">
        <f t="shared" si="82"/>
        <v>2744</v>
      </c>
      <c r="AG51" s="173">
        <f t="shared" si="82"/>
        <v>1620</v>
      </c>
      <c r="AH51" s="173">
        <f t="shared" si="82"/>
        <v>1078</v>
      </c>
      <c r="AI51" s="173">
        <f t="shared" si="82"/>
        <v>1160</v>
      </c>
      <c r="AJ51" s="173">
        <f t="shared" si="82"/>
        <v>2231</v>
      </c>
      <c r="AK51" s="1095">
        <f t="shared" si="82"/>
        <v>6089</v>
      </c>
      <c r="AL51" s="173">
        <f t="shared" si="82"/>
        <v>1031</v>
      </c>
      <c r="AM51" s="173">
        <f>INDEX(SP_GF_Rev,0,COLUMN())-INDEX(SP_GF_Loss,0,COLUMN())-INDEX(SP_GF_OOE,0,COLUMN())-INDEX(SP_GF_IE,0,COLUMN())-INDEX(SP_GF_OI,0,COLUMN())-INDEX(SP_GF_OTI,0,COLUMN())</f>
        <v>1379</v>
      </c>
      <c r="AN51" s="173">
        <f>INDEX(SP_GF_Rev,0,COLUMN())-INDEX(SP_GF_Loss,0,COLUMN())-INDEX(SP_GF_OOE,0,COLUMN())-INDEX(SP_GF_IE,0,COLUMN())-INDEX(SP_GF_OI,0,COLUMN())-INDEX(SP_GF_OTI,0,COLUMN())</f>
        <v>1528</v>
      </c>
      <c r="AO51" s="173">
        <f t="shared" si="82"/>
        <v>2864</v>
      </c>
      <c r="AP51" s="1095">
        <f t="shared" si="82"/>
        <v>6802</v>
      </c>
      <c r="AQ51" s="173">
        <f>INDEX(SP_GF_Rev,0,COLUMN())-INDEX(SP_GF_Loss,0,COLUMN())-INDEX(SP_GF_OOE,0,COLUMN())-INDEX(SP_GF_IE,0,COLUMN())-INDEX(SP_GF_OI,0,COLUMN())-INDEX(SP_GF_OTI,0,COLUMN())</f>
        <v>3032</v>
      </c>
      <c r="AR51" s="173">
        <f>INDEX(SP_GF_Rev,0,COLUMN())-INDEX(SP_GF_Loss,0,COLUMN())-INDEX(SP_GF_OOE,0,COLUMN())-INDEX(SP_GF_IE,0,COLUMN())-INDEX(SP_GF_OI,0,COLUMN())-INDEX(SP_GF_OTI,0,COLUMN())</f>
        <v>1797</v>
      </c>
      <c r="AS51" s="173">
        <f>INDEX(SP_GF_Rev,0,COLUMN())-INDEX(SP_GF_Loss,0,COLUMN())-INDEX(SP_GF_OOE,0,COLUMN())-INDEX(SP_GF_IE,0,COLUMN())-INDEX(SP_GF_OI,0,COLUMN())-INDEX(SP_GF_OTI,0,COLUMN())</f>
        <v>226</v>
      </c>
      <c r="AT51" s="173">
        <f t="shared" si="82"/>
        <v>1393</v>
      </c>
      <c r="AU51" s="1095">
        <f t="shared" si="82"/>
        <v>6448</v>
      </c>
      <c r="AV51" s="173">
        <f>INDEX(SP_GF_Rev,0,COLUMN())-INDEX(SP_GF_Loss,0,COLUMN())-INDEX(SP_GF_OOE,0,COLUMN())-INDEX(SP_GF_IE,0,COLUMN())-INDEX(SP_GF_OI,0,COLUMN())-INDEX(SP_GF_OTI,0,COLUMN())</f>
        <v>801</v>
      </c>
      <c r="AW51" s="173">
        <f>INDEX(SP_GF_Rev,0,COLUMN())-INDEX(SP_GF_Loss,0,COLUMN())-INDEX(SP_GF_OOE,0,COLUMN())-INDEX(SP_GF_IE,0,COLUMN())-INDEX(SP_GF_OI,0,COLUMN())-INDEX(SP_GF_OTI,0,COLUMN())</f>
        <v>-1311</v>
      </c>
      <c r="AX51" s="173">
        <f>INDEX(SP_GF_Rev,0,COLUMN())-INDEX(SP_GF_Loss,0,COLUMN())-INDEX(SP_GF_OOE,0,COLUMN())-INDEX(SP_GF_IE,0,COLUMN())-INDEX(SP_GF_OI,0,COLUMN())-INDEX(SP_GF_OTI,0,COLUMN())</f>
        <v>-910</v>
      </c>
      <c r="AY51" s="173">
        <f t="shared" si="82"/>
        <v>-410</v>
      </c>
      <c r="AZ51" s="1095">
        <f t="shared" si="82"/>
        <v>-1830</v>
      </c>
      <c r="BA51" s="173">
        <f>INDEX(SP_GF_Rev,0,COLUMN())-INDEX(SP_GF_Loss,0,COLUMN())-INDEX(SP_GF_OOE,0,COLUMN())-INDEX(SP_GF_IE,0,COLUMN())-INDEX(SP_GF_OI,0,COLUMN())-INDEX(SP_GF_OTI,0,COLUMN())</f>
        <v>-406</v>
      </c>
      <c r="BB51" s="173">
        <f>INDEX(SP_GF_Rev,0,COLUMN())-INDEX(SP_GF_Loss,0,COLUMN())-INDEX(SP_GF_OOE,0,COLUMN())-INDEX(SP_GF_IE,0,COLUMN())-INDEX(SP_GF_OI,0,COLUMN())-INDEX(SP_GF_OTI,0,COLUMN())</f>
        <v>-1748</v>
      </c>
      <c r="BC51" s="173">
        <f>INDEX(SP_GF_Rev,0,COLUMN())-INDEX(SP_GF_Loss,0,COLUMN())-INDEX(SP_GF_OOE,0,COLUMN())-INDEX(SP_GF_IE,0,COLUMN())-INDEX(SP_GF_OI,0,COLUMN())-INDEX(SP_GF_OTI,0,COLUMN())</f>
        <v>-21</v>
      </c>
      <c r="BD51" s="173">
        <f>INDEX(SP_GF_Rev,0,COLUMN())-INDEX(SP_GF_Loss,0,COLUMN())-INDEX(SP_GF_OOE,0,COLUMN())-INDEX(SP_GF_IE,0,COLUMN())-INDEX(SP_GF_OI,0,COLUMN())-INDEX(SP_GF_OTI,0,COLUMN())</f>
        <v>1827</v>
      </c>
      <c r="BE51" s="1095">
        <f>INDEX(SP_GF_Rev,0,COLUMN())-INDEX(SP_GF_Loss,0,COLUMN())-INDEX(SP_GF_OOE,0,COLUMN())-INDEX(SP_GF_IE,0,COLUMN())-INDEX(SP_GF_OI,0,COLUMN())-INDEX(SP_GF_OTI,0,COLUMN())</f>
        <v>-348</v>
      </c>
      <c r="BF51" s="173">
        <f t="shared" si="83" ref="BF51:BJ51">INDEX(SP_GF_Rev,0,COLUMN())-INDEX(SP_GF_Loss,0,COLUMN())-INDEX(SP_GF_OOE,0,COLUMN())-INDEX(SP_GF_IE,0,COLUMN())-INDEX(SP_GF_OI,0,COLUMN())-INDEX(SP_GF_OTI,0,COLUMN())</f>
        <v>1464</v>
      </c>
      <c r="BG51" s="173">
        <f t="shared" si="83"/>
        <v>430</v>
      </c>
      <c r="BH51" s="777">
        <f>INDEX(SP_GF_Rev,0,COLUMN())-INDEX(SP_GF_Loss,0,COLUMN())-INDEX(SP_GF_OOE,0,COLUMN())-INDEX(SP_GF_IE,0,COLUMN())-INDEX(SP_GF_OI,0,COLUMN())-INDEX(SP_GF_OTI,0,COLUMN())</f>
        <v>1418</v>
      </c>
      <c r="BI51" s="173">
        <f t="shared" si="83"/>
        <v>1823.2041813387987</v>
      </c>
      <c r="BJ51" s="1095">
        <f t="shared" si="83"/>
        <v>5135.2041813387987</v>
      </c>
      <c r="BK51" s="173">
        <f t="shared" si="84" ref="BK51:BR51">INDEX(SP_GF_Rev,0,COLUMN())-INDEX(SP_GF_Loss,0,COLUMN())-INDEX(SP_GF_OOE,0,COLUMN())-INDEX(SP_GF_IE,0,COLUMN())-INDEX(SP_GF_OI,0,COLUMN())-INDEX(SP_GF_OTI,0,COLUMN())</f>
        <v>1859.0054826575347</v>
      </c>
      <c r="BL51" s="173">
        <f t="shared" si="84"/>
        <v>1121.6071051506842</v>
      </c>
      <c r="BM51" s="173">
        <f t="shared" si="84"/>
        <v>1560.8939293835626</v>
      </c>
      <c r="BN51" s="173">
        <f t="shared" si="84"/>
        <v>2135.5036426305501</v>
      </c>
      <c r="BO51" s="1095">
        <f t="shared" si="84"/>
        <v>6677.0101598223282</v>
      </c>
      <c r="BP51" s="1095">
        <f t="shared" si="84"/>
        <v>7227.1324122308415</v>
      </c>
      <c r="BQ51" s="1095">
        <f t="shared" si="84"/>
        <v>7398.267668614355</v>
      </c>
      <c r="BR51" s="1095">
        <f t="shared" si="84"/>
        <v>7595.5085633389663</v>
      </c>
      <c r="BS51" s="175"/>
    </row>
    <row r="52" spans="1:71" s="427" customFormat="1" ht="15">
      <c r="A52" s="266" t="s">
        <v>265</v>
      </c>
      <c r="B52" s="267"/>
      <c r="C52" s="1097">
        <f t="shared" si="85" ref="C52:AZ52">INDEX(MO_RIS_Tax_Current,0,COLUMN())+INDEX(MO_RIS_Tax_Deferred,0,COLUMN())</f>
        <v>394</v>
      </c>
      <c r="D52" s="1097">
        <f t="shared" si="85"/>
        <v>198</v>
      </c>
      <c r="E52" s="1097">
        <f t="shared" si="85"/>
        <v>172</v>
      </c>
      <c r="F52" s="1097">
        <f t="shared" si="85"/>
        <v>1000</v>
      </c>
      <c r="G52" s="1097">
        <f t="shared" si="85"/>
        <v>1116</v>
      </c>
      <c r="H52" s="177">
        <f t="shared" si="85"/>
        <v>249</v>
      </c>
      <c r="I52" s="177">
        <f t="shared" si="85"/>
        <v>310</v>
      </c>
      <c r="J52" s="177">
        <f t="shared" si="85"/>
        <v>409</v>
      </c>
      <c r="K52" s="177">
        <f t="shared" si="85"/>
        <v>418</v>
      </c>
      <c r="L52" s="1097">
        <f t="shared" si="85"/>
        <v>1386</v>
      </c>
      <c r="M52" s="177">
        <f t="shared" si="85"/>
        <v>404</v>
      </c>
      <c r="N52" s="177">
        <f t="shared" si="85"/>
        <v>171</v>
      </c>
      <c r="O52" s="177">
        <f t="shared" si="85"/>
        <v>305</v>
      </c>
      <c r="P52" s="177">
        <f t="shared" si="85"/>
        <v>231</v>
      </c>
      <c r="Q52" s="1097">
        <f t="shared" si="85"/>
        <v>1111</v>
      </c>
      <c r="R52" s="177">
        <f t="shared" si="85"/>
        <v>109</v>
      </c>
      <c r="S52" s="177">
        <f t="shared" si="85"/>
        <v>105</v>
      </c>
      <c r="T52" s="177">
        <f t="shared" si="85"/>
        <v>245</v>
      </c>
      <c r="U52" s="177">
        <f t="shared" si="85"/>
        <v>418</v>
      </c>
      <c r="V52" s="1097">
        <f t="shared" si="85"/>
        <v>877</v>
      </c>
      <c r="W52" s="177">
        <f t="shared" si="85"/>
        <v>317</v>
      </c>
      <c r="X52" s="177">
        <f t="shared" si="85"/>
        <v>272</v>
      </c>
      <c r="Y52" s="177">
        <f t="shared" si="85"/>
        <v>305</v>
      </c>
      <c r="Z52" s="177">
        <f t="shared" si="85"/>
        <v>-92</v>
      </c>
      <c r="AA52" s="1097">
        <f t="shared" si="85"/>
        <v>802</v>
      </c>
      <c r="AB52" s="177">
        <f t="shared" si="85"/>
        <v>249</v>
      </c>
      <c r="AC52" s="177">
        <f t="shared" si="85"/>
        <v>169</v>
      </c>
      <c r="AD52" s="177">
        <f t="shared" si="85"/>
        <v>169</v>
      </c>
      <c r="AE52" s="177">
        <f t="shared" si="85"/>
        <v>-95</v>
      </c>
      <c r="AF52" s="1097">
        <f t="shared" si="85"/>
        <v>492</v>
      </c>
      <c r="AG52" s="177">
        <f t="shared" si="85"/>
        <v>328</v>
      </c>
      <c r="AH52" s="177">
        <f t="shared" si="85"/>
        <v>227</v>
      </c>
      <c r="AI52" s="177">
        <f t="shared" si="85"/>
        <v>229</v>
      </c>
      <c r="AJ52" s="177">
        <f t="shared" si="85"/>
        <v>458</v>
      </c>
      <c r="AK52" s="1097">
        <f t="shared" si="85"/>
        <v>1242</v>
      </c>
      <c r="AL52" s="177">
        <f>INDEX(MO_RIS_Tax_Current,0,COLUMN())+INDEX(MO_RIS_Tax_Deferred,0,COLUMN())</f>
        <v>194</v>
      </c>
      <c r="AM52" s="177">
        <f>INDEX(MO_RIS_Tax_Current,0,COLUMN())+INDEX(MO_RIS_Tax_Deferred,0,COLUMN())</f>
        <v>273</v>
      </c>
      <c r="AN52" s="177">
        <f>INDEX(MO_RIS_Tax_Current,0,COLUMN())+INDEX(MO_RIS_Tax_Deferred,0,COLUMN())</f>
        <v>312</v>
      </c>
      <c r="AO52" s="177">
        <f t="shared" si="85"/>
        <v>594</v>
      </c>
      <c r="AP52" s="1097">
        <f t="shared" si="85"/>
        <v>1373</v>
      </c>
      <c r="AQ52" s="177">
        <f>INDEX(MO_RIS_Tax_Current,0,COLUMN())+INDEX(MO_RIS_Tax_Deferred,0,COLUMN())</f>
        <v>626</v>
      </c>
      <c r="AR52" s="177">
        <f>INDEX(MO_RIS_Tax_Current,0,COLUMN())+INDEX(MO_RIS_Tax_Deferred,0,COLUMN())</f>
        <v>362</v>
      </c>
      <c r="AS52" s="177">
        <f>INDEX(MO_RIS_Tax_Current,0,COLUMN())+INDEX(MO_RIS_Tax_Deferred,0,COLUMN())</f>
        <v>20</v>
      </c>
      <c r="AT52" s="177">
        <f t="shared" si="85"/>
        <v>281</v>
      </c>
      <c r="AU52" s="1097">
        <f t="shared" si="85"/>
        <v>1289</v>
      </c>
      <c r="AV52" s="177">
        <f>INDEX(MO_RIS_Tax_Current,0,COLUMN())+INDEX(MO_RIS_Tax_Deferred,0,COLUMN())</f>
        <v>151</v>
      </c>
      <c r="AW52" s="177">
        <f>INDEX(MO_RIS_Tax_Current,0,COLUMN())+INDEX(MO_RIS_Tax_Deferred,0,COLUMN())</f>
        <v>-289</v>
      </c>
      <c r="AX52" s="177">
        <f>INDEX(MO_RIS_Tax_Current,0,COLUMN())+INDEX(MO_RIS_Tax_Deferred,0,COLUMN())</f>
        <v>-236</v>
      </c>
      <c r="AY52" s="177">
        <f t="shared" si="85"/>
        <v>-114</v>
      </c>
      <c r="AZ52" s="1097">
        <f t="shared" si="85"/>
        <v>-488</v>
      </c>
      <c r="BA52" s="177">
        <f>INDEX(MO_RIS_Tax_Current,0,COLUMN())+INDEX(MO_RIS_Tax_Deferred,0,COLUMN())</f>
        <v>-85</v>
      </c>
      <c r="BB52" s="177">
        <f>INDEX(MO_RIS_Tax_Current,0,COLUMN())+INDEX(MO_RIS_Tax_Deferred,0,COLUMN())</f>
        <v>-373</v>
      </c>
      <c r="BC52" s="177">
        <f>INDEX(MO_RIS_Tax_Current,0,COLUMN())+INDEX(MO_RIS_Tax_Deferred,0,COLUMN())</f>
        <v>-17</v>
      </c>
      <c r="BD52" s="177">
        <f>INDEX(MO_RIS_Tax_Current,0,COLUMN())+INDEX(MO_RIS_Tax_Deferred,0,COLUMN())</f>
        <v>340</v>
      </c>
      <c r="BE52" s="1097">
        <f>INDEX(MO_RIS_Tax_Current,0,COLUMN())+INDEX(MO_RIS_Tax_Deferred,0,COLUMN())</f>
        <v>-135</v>
      </c>
      <c r="BF52" s="177">
        <f t="shared" si="86" ref="BF52:BJ52">INDEX(MO_RIS_Tax_Current,0,COLUMN())+INDEX(MO_RIS_Tax_Deferred,0,COLUMN())</f>
        <v>266</v>
      </c>
      <c r="BG52" s="177">
        <f t="shared" si="86"/>
        <v>83</v>
      </c>
      <c r="BH52" s="779">
        <f>INDEX(MO_RIS_Tax_Current,0,COLUMN())+INDEX(MO_RIS_Tax_Deferred,0,COLUMN())</f>
        <v>254</v>
      </c>
      <c r="BI52" s="177">
        <f t="shared" si="86"/>
        <v>455.80104533469967</v>
      </c>
      <c r="BJ52" s="1097">
        <f t="shared" si="86"/>
        <v>1058.8010453346997</v>
      </c>
      <c r="BK52" s="177">
        <f t="shared" si="87" ref="BK52:BR52">INDEX(MO_RIS_Tax_Current,0,COLUMN())+INDEX(MO_RIS_Tax_Deferred,0,COLUMN())</f>
        <v>371.80109653150697</v>
      </c>
      <c r="BL52" s="177">
        <f t="shared" si="87"/>
        <v>224.32142103013686</v>
      </c>
      <c r="BM52" s="177">
        <f t="shared" si="87"/>
        <v>312.1787858767126</v>
      </c>
      <c r="BN52" s="177">
        <f t="shared" si="87"/>
        <v>427.10072852611012</v>
      </c>
      <c r="BO52" s="1097">
        <f t="shared" si="87"/>
        <v>1335.4020319644665</v>
      </c>
      <c r="BP52" s="1097">
        <f t="shared" si="87"/>
        <v>1517.6978065684777</v>
      </c>
      <c r="BQ52" s="1097">
        <f t="shared" si="87"/>
        <v>1553.6362104090158</v>
      </c>
      <c r="BR52" s="1097">
        <f t="shared" si="87"/>
        <v>1595.056798301184</v>
      </c>
      <c r="BS52" s="177"/>
    </row>
    <row r="53" spans="1:71" s="427" customFormat="1" ht="15">
      <c r="A53" s="266" t="str">
        <f>INDEX(MO_RIS_EI,0,COLUMN())</f>
        <v>Earnings from Equity Investments</v>
      </c>
      <c r="B53" s="267"/>
      <c r="C53" s="1097">
        <f t="shared" si="88" ref="C53:AZ53">INDEX(MO_RIS_EI,0,COLUMN())</f>
        <v>0</v>
      </c>
      <c r="D53" s="1097">
        <f t="shared" si="88"/>
        <v>0</v>
      </c>
      <c r="E53" s="1097">
        <f t="shared" si="88"/>
        <v>0</v>
      </c>
      <c r="F53" s="1097">
        <f t="shared" si="88"/>
        <v>0</v>
      </c>
      <c r="G53" s="1097">
        <f t="shared" si="88"/>
        <v>0</v>
      </c>
      <c r="H53" s="177">
        <f t="shared" si="88"/>
        <v>0</v>
      </c>
      <c r="I53" s="177">
        <f t="shared" si="88"/>
        <v>0</v>
      </c>
      <c r="J53" s="177">
        <f t="shared" si="88"/>
        <v>0</v>
      </c>
      <c r="K53" s="177">
        <f t="shared" si="88"/>
        <v>0</v>
      </c>
      <c r="L53" s="1097">
        <f t="shared" si="88"/>
        <v>0</v>
      </c>
      <c r="M53" s="177">
        <f t="shared" si="88"/>
        <v>0</v>
      </c>
      <c r="N53" s="177">
        <f t="shared" si="88"/>
        <v>0</v>
      </c>
      <c r="O53" s="177">
        <f t="shared" si="88"/>
        <v>0</v>
      </c>
      <c r="P53" s="177">
        <f t="shared" si="88"/>
        <v>0</v>
      </c>
      <c r="Q53" s="1097">
        <f t="shared" si="88"/>
        <v>0</v>
      </c>
      <c r="R53" s="177">
        <f t="shared" si="88"/>
        <v>0</v>
      </c>
      <c r="S53" s="177">
        <f t="shared" si="88"/>
        <v>0</v>
      </c>
      <c r="T53" s="177">
        <f t="shared" si="88"/>
        <v>0</v>
      </c>
      <c r="U53" s="177">
        <f t="shared" si="88"/>
        <v>0</v>
      </c>
      <c r="V53" s="1097">
        <f t="shared" si="88"/>
        <v>0</v>
      </c>
      <c r="W53" s="177">
        <f t="shared" si="88"/>
        <v>0</v>
      </c>
      <c r="X53" s="177">
        <f t="shared" si="88"/>
        <v>0</v>
      </c>
      <c r="Y53" s="177">
        <f t="shared" si="88"/>
        <v>0</v>
      </c>
      <c r="Z53" s="177">
        <f t="shared" si="88"/>
        <v>0</v>
      </c>
      <c r="AA53" s="1097">
        <f t="shared" si="88"/>
        <v>0</v>
      </c>
      <c r="AB53" s="177">
        <f t="shared" si="88"/>
        <v>0</v>
      </c>
      <c r="AC53" s="177">
        <f t="shared" si="88"/>
        <v>0</v>
      </c>
      <c r="AD53" s="177">
        <f t="shared" si="88"/>
        <v>0</v>
      </c>
      <c r="AE53" s="177">
        <f t="shared" si="88"/>
        <v>0</v>
      </c>
      <c r="AF53" s="1097">
        <f t="shared" si="88"/>
        <v>0</v>
      </c>
      <c r="AG53" s="177">
        <f t="shared" si="88"/>
        <v>0</v>
      </c>
      <c r="AH53" s="177">
        <f t="shared" si="88"/>
        <v>0</v>
      </c>
      <c r="AI53" s="177">
        <f t="shared" si="88"/>
        <v>0</v>
      </c>
      <c r="AJ53" s="177">
        <f t="shared" si="88"/>
        <v>0</v>
      </c>
      <c r="AK53" s="1097">
        <f t="shared" si="88"/>
        <v>0</v>
      </c>
      <c r="AL53" s="177">
        <f>INDEX(MO_RIS_EI,0,COLUMN())</f>
        <v>0</v>
      </c>
      <c r="AM53" s="177">
        <f>INDEX(MO_RIS_EI,0,COLUMN())</f>
        <v>0</v>
      </c>
      <c r="AN53" s="177">
        <f>INDEX(MO_RIS_EI,0,COLUMN())</f>
        <v>0</v>
      </c>
      <c r="AO53" s="177">
        <f t="shared" si="88"/>
        <v>0</v>
      </c>
      <c r="AP53" s="1097">
        <f t="shared" si="88"/>
        <v>0</v>
      </c>
      <c r="AQ53" s="177">
        <f>INDEX(MO_RIS_EI,0,COLUMN())</f>
        <v>0</v>
      </c>
      <c r="AR53" s="177">
        <f>INDEX(MO_RIS_EI,0,COLUMN())</f>
        <v>0</v>
      </c>
      <c r="AS53" s="177">
        <f>INDEX(MO_RIS_EI,0,COLUMN())</f>
        <v>0</v>
      </c>
      <c r="AT53" s="177">
        <f t="shared" si="88"/>
        <v>0</v>
      </c>
      <c r="AU53" s="1097">
        <f t="shared" si="88"/>
        <v>0</v>
      </c>
      <c r="AV53" s="177">
        <f>INDEX(MO_RIS_EI,0,COLUMN())</f>
        <v>0</v>
      </c>
      <c r="AW53" s="177">
        <f>INDEX(MO_RIS_EI,0,COLUMN())</f>
        <v>0</v>
      </c>
      <c r="AX53" s="177">
        <f>INDEX(MO_RIS_EI,0,COLUMN())</f>
        <v>0</v>
      </c>
      <c r="AY53" s="177">
        <f t="shared" si="88"/>
        <v>0</v>
      </c>
      <c r="AZ53" s="1097">
        <f t="shared" si="88"/>
        <v>0</v>
      </c>
      <c r="BA53" s="177">
        <f>INDEX(MO_RIS_EI,0,COLUMN())</f>
        <v>0</v>
      </c>
      <c r="BB53" s="177">
        <f>INDEX(MO_RIS_EI,0,COLUMN())</f>
        <v>0</v>
      </c>
      <c r="BC53" s="177">
        <f>INDEX(MO_RIS_EI,0,COLUMN())</f>
        <v>0</v>
      </c>
      <c r="BD53" s="177">
        <f>INDEX(MO_RIS_EI,0,COLUMN())</f>
        <v>0</v>
      </c>
      <c r="BE53" s="1097">
        <f>INDEX(MO_RIS_EI,0,COLUMN())</f>
        <v>0</v>
      </c>
      <c r="BF53" s="177">
        <f t="shared" si="89" ref="BF53:BJ53">INDEX(MO_RIS_EI,0,COLUMN())</f>
        <v>0</v>
      </c>
      <c r="BG53" s="177">
        <f t="shared" si="89"/>
        <v>0</v>
      </c>
      <c r="BH53" s="779">
        <f>INDEX(MO_RIS_EI,0,COLUMN())</f>
        <v>0</v>
      </c>
      <c r="BI53" s="177">
        <f t="shared" si="89"/>
        <v>0</v>
      </c>
      <c r="BJ53" s="1097">
        <f t="shared" si="89"/>
        <v>0</v>
      </c>
      <c r="BK53" s="177">
        <f t="shared" si="90" ref="BK53:BR53">INDEX(MO_RIS_EI,0,COLUMN())</f>
        <v>0</v>
      </c>
      <c r="BL53" s="177">
        <f t="shared" si="90"/>
        <v>0</v>
      </c>
      <c r="BM53" s="177">
        <f t="shared" si="90"/>
        <v>0</v>
      </c>
      <c r="BN53" s="177">
        <f t="shared" si="90"/>
        <v>0</v>
      </c>
      <c r="BO53" s="1097">
        <f t="shared" si="90"/>
        <v>0</v>
      </c>
      <c r="BP53" s="1097">
        <f t="shared" si="90"/>
        <v>0</v>
      </c>
      <c r="BQ53" s="1097">
        <f t="shared" si="90"/>
        <v>0</v>
      </c>
      <c r="BR53" s="1097">
        <f t="shared" si="90"/>
        <v>0</v>
      </c>
      <c r="BS53" s="177"/>
    </row>
    <row r="54" spans="1:71" s="427" customFormat="1" ht="15">
      <c r="A54" s="266" t="str">
        <f>INDEX(MO_RIS_DisCont,0,COLUMN())</f>
        <v>Discontinued Operations</v>
      </c>
      <c r="B54" s="267"/>
      <c r="C54" s="1097">
        <f t="shared" si="91" ref="C54:AZ54">INDEX(MO_RIS_DisCont,0,COLUMN())</f>
        <v>0</v>
      </c>
      <c r="D54" s="1097">
        <f t="shared" si="91"/>
        <v>0</v>
      </c>
      <c r="E54" s="1097">
        <f t="shared" si="91"/>
        <v>0</v>
      </c>
      <c r="F54" s="1097">
        <f t="shared" si="91"/>
        <v>0</v>
      </c>
      <c r="G54" s="1097">
        <f t="shared" si="91"/>
        <v>0</v>
      </c>
      <c r="H54" s="177">
        <f t="shared" si="91"/>
        <v>0</v>
      </c>
      <c r="I54" s="177">
        <f t="shared" si="91"/>
        <v>0</v>
      </c>
      <c r="J54" s="177">
        <f t="shared" si="91"/>
        <v>0</v>
      </c>
      <c r="K54" s="177">
        <f t="shared" si="91"/>
        <v>0</v>
      </c>
      <c r="L54" s="1097">
        <f t="shared" si="91"/>
        <v>0</v>
      </c>
      <c r="M54" s="177">
        <f t="shared" si="91"/>
        <v>0</v>
      </c>
      <c r="N54" s="177">
        <f t="shared" si="91"/>
        <v>0</v>
      </c>
      <c r="O54" s="177">
        <f t="shared" si="91"/>
        <v>0</v>
      </c>
      <c r="P54" s="177">
        <f t="shared" si="91"/>
        <v>0</v>
      </c>
      <c r="Q54" s="1097">
        <f t="shared" si="91"/>
        <v>0</v>
      </c>
      <c r="R54" s="177">
        <f t="shared" si="91"/>
        <v>0</v>
      </c>
      <c r="S54" s="177">
        <f t="shared" si="91"/>
        <v>0</v>
      </c>
      <c r="T54" s="177">
        <f t="shared" si="91"/>
        <v>0</v>
      </c>
      <c r="U54" s="177">
        <f t="shared" si="91"/>
        <v>0</v>
      </c>
      <c r="V54" s="1097">
        <f t="shared" si="91"/>
        <v>0</v>
      </c>
      <c r="W54" s="177">
        <f t="shared" si="91"/>
        <v>0</v>
      </c>
      <c r="X54" s="177">
        <f t="shared" si="91"/>
        <v>0</v>
      </c>
      <c r="Y54" s="177">
        <f t="shared" si="91"/>
        <v>0</v>
      </c>
      <c r="Z54" s="177">
        <f t="shared" si="91"/>
        <v>0</v>
      </c>
      <c r="AA54" s="1097">
        <f t="shared" si="91"/>
        <v>0</v>
      </c>
      <c r="AB54" s="177">
        <f t="shared" si="91"/>
        <v>0</v>
      </c>
      <c r="AC54" s="177">
        <f t="shared" si="91"/>
        <v>0</v>
      </c>
      <c r="AD54" s="177">
        <f t="shared" si="91"/>
        <v>0</v>
      </c>
      <c r="AE54" s="177">
        <f t="shared" si="91"/>
        <v>0</v>
      </c>
      <c r="AF54" s="1097">
        <f t="shared" si="91"/>
        <v>0</v>
      </c>
      <c r="AG54" s="177">
        <f t="shared" si="91"/>
        <v>0</v>
      </c>
      <c r="AH54" s="177">
        <f t="shared" si="91"/>
        <v>0</v>
      </c>
      <c r="AI54" s="177">
        <f t="shared" si="91"/>
        <v>0</v>
      </c>
      <c r="AJ54" s="177">
        <f t="shared" si="91"/>
        <v>0</v>
      </c>
      <c r="AK54" s="1097">
        <f t="shared" si="91"/>
        <v>0</v>
      </c>
      <c r="AL54" s="177">
        <f>INDEX(MO_RIS_DisCont,0,COLUMN())</f>
        <v>288</v>
      </c>
      <c r="AM54" s="177">
        <f>INDEX(MO_RIS_DisCont,0,COLUMN())</f>
        <v>-144</v>
      </c>
      <c r="AN54" s="177">
        <f>INDEX(MO_RIS_DisCont,0,COLUMN())</f>
        <v>63</v>
      </c>
      <c r="AO54" s="177">
        <f t="shared" si="91"/>
        <v>-354</v>
      </c>
      <c r="AP54" s="1097">
        <f t="shared" si="91"/>
        <v>-147</v>
      </c>
      <c r="AQ54" s="177">
        <f>INDEX(MO_RIS_DisCont,0,COLUMN())</f>
        <v>3793</v>
      </c>
      <c r="AR54" s="177">
        <f>INDEX(MO_RIS_DisCont,0,COLUMN())</f>
        <v>-196</v>
      </c>
      <c r="AS54" s="177">
        <f>INDEX(MO_RIS_DisCont,0,COLUMN())</f>
        <v>-325</v>
      </c>
      <c r="AT54" s="177">
        <f t="shared" si="91"/>
        <v>321</v>
      </c>
      <c r="AU54" s="1097">
        <f t="shared" si="91"/>
        <v>3593</v>
      </c>
      <c r="AV54" s="177">
        <f>INDEX(MO_RIS_DisCont,0,COLUMN())</f>
        <v>0</v>
      </c>
      <c r="AW54" s="177">
        <f>INDEX(MO_RIS_DisCont,0,COLUMN())</f>
        <v>0</v>
      </c>
      <c r="AX54" s="177">
        <f>INDEX(MO_RIS_DisCont,0,COLUMN())</f>
        <v>0</v>
      </c>
      <c r="AY54" s="177">
        <f t="shared" si="91"/>
        <v>0</v>
      </c>
      <c r="AZ54" s="1097">
        <f t="shared" si="91"/>
        <v>0</v>
      </c>
      <c r="BA54" s="177">
        <f>INDEX(MO_RIS_DisCont,0,COLUMN())</f>
        <v>0</v>
      </c>
      <c r="BB54" s="177">
        <f>INDEX(MO_RIS_DisCont,0,COLUMN())</f>
        <v>0</v>
      </c>
      <c r="BC54" s="177">
        <f>INDEX(MO_RIS_DisCont,0,COLUMN())</f>
        <v>0</v>
      </c>
      <c r="BD54" s="177">
        <f>INDEX(MO_RIS_DisCont,0,COLUMN())</f>
        <v>0</v>
      </c>
      <c r="BE54" s="1097">
        <f>INDEX(MO_RIS_DisCont,0,COLUMN())</f>
        <v>0</v>
      </c>
      <c r="BF54" s="177">
        <f t="shared" si="92" ref="BF54:BJ54">INDEX(MO_RIS_DisCont,0,COLUMN())</f>
        <v>0</v>
      </c>
      <c r="BG54" s="177">
        <f t="shared" si="92"/>
        <v>0</v>
      </c>
      <c r="BH54" s="779">
        <f>INDEX(MO_RIS_DisCont,0,COLUMN())</f>
        <v>0</v>
      </c>
      <c r="BI54" s="177">
        <f t="shared" si="92"/>
        <v>0</v>
      </c>
      <c r="BJ54" s="1097">
        <f t="shared" si="92"/>
        <v>0</v>
      </c>
      <c r="BK54" s="177">
        <f t="shared" si="93" ref="BK54:BR54">INDEX(MO_RIS_DisCont,0,COLUMN())</f>
        <v>0</v>
      </c>
      <c r="BL54" s="177">
        <f t="shared" si="93"/>
        <v>0</v>
      </c>
      <c r="BM54" s="177">
        <f t="shared" si="93"/>
        <v>0</v>
      </c>
      <c r="BN54" s="177">
        <f t="shared" si="93"/>
        <v>0</v>
      </c>
      <c r="BO54" s="1097">
        <f t="shared" si="93"/>
        <v>0</v>
      </c>
      <c r="BP54" s="1097">
        <f t="shared" si="93"/>
        <v>0</v>
      </c>
      <c r="BQ54" s="1097">
        <f t="shared" si="93"/>
        <v>0</v>
      </c>
      <c r="BR54" s="1097">
        <f t="shared" si="93"/>
        <v>0</v>
      </c>
      <c r="BS54" s="177"/>
    </row>
    <row r="55" spans="1:71" s="427" customFormat="1" ht="15">
      <c r="A55" s="266" t="str">
        <f>INDEX(MO_RIS_NCI,0,COLUMN())</f>
        <v>Net Income to NCI</v>
      </c>
      <c r="B55" s="267"/>
      <c r="C55" s="1097">
        <f t="shared" si="94" ref="C55:AZ55">INDEX(MO_RIS_NCI,0,COLUMN())</f>
        <v>0</v>
      </c>
      <c r="D55" s="1097">
        <f t="shared" si="94"/>
        <v>0</v>
      </c>
      <c r="E55" s="1097">
        <f t="shared" si="94"/>
        <v>0</v>
      </c>
      <c r="F55" s="1097">
        <f t="shared" si="94"/>
        <v>0</v>
      </c>
      <c r="G55" s="1097">
        <f t="shared" si="94"/>
        <v>0</v>
      </c>
      <c r="H55" s="177">
        <f t="shared" si="94"/>
        <v>0</v>
      </c>
      <c r="I55" s="177">
        <f t="shared" si="94"/>
        <v>0</v>
      </c>
      <c r="J55" s="177">
        <f t="shared" si="94"/>
        <v>0</v>
      </c>
      <c r="K55" s="177">
        <f t="shared" si="94"/>
        <v>0</v>
      </c>
      <c r="L55" s="1097">
        <f t="shared" si="94"/>
        <v>0</v>
      </c>
      <c r="M55" s="177">
        <f t="shared" si="94"/>
        <v>0</v>
      </c>
      <c r="N55" s="177">
        <f t="shared" si="94"/>
        <v>0</v>
      </c>
      <c r="O55" s="177">
        <f t="shared" si="94"/>
        <v>0</v>
      </c>
      <c r="P55" s="177">
        <f t="shared" si="94"/>
        <v>0</v>
      </c>
      <c r="Q55" s="1097">
        <f t="shared" si="94"/>
        <v>0</v>
      </c>
      <c r="R55" s="177">
        <f t="shared" si="94"/>
        <v>0</v>
      </c>
      <c r="S55" s="177">
        <f t="shared" si="94"/>
        <v>0</v>
      </c>
      <c r="T55" s="177">
        <f t="shared" si="94"/>
        <v>0</v>
      </c>
      <c r="U55" s="177">
        <f t="shared" si="94"/>
        <v>0</v>
      </c>
      <c r="V55" s="1097">
        <f t="shared" si="94"/>
        <v>0</v>
      </c>
      <c r="W55" s="177">
        <f t="shared" si="94"/>
        <v>0</v>
      </c>
      <c r="X55" s="177">
        <f t="shared" si="94"/>
        <v>0</v>
      </c>
      <c r="Y55" s="177">
        <f t="shared" si="94"/>
        <v>0</v>
      </c>
      <c r="Z55" s="177">
        <f t="shared" si="94"/>
        <v>0</v>
      </c>
      <c r="AA55" s="1097">
        <f t="shared" si="94"/>
        <v>0</v>
      </c>
      <c r="AB55" s="177">
        <f t="shared" si="94"/>
        <v>0</v>
      </c>
      <c r="AC55" s="177">
        <f t="shared" si="94"/>
        <v>0</v>
      </c>
      <c r="AD55" s="177">
        <f t="shared" si="94"/>
        <v>0</v>
      </c>
      <c r="AE55" s="177">
        <f t="shared" si="94"/>
        <v>0</v>
      </c>
      <c r="AF55" s="1097">
        <f t="shared" si="94"/>
        <v>0</v>
      </c>
      <c r="AG55" s="177">
        <f t="shared" si="94"/>
        <v>0</v>
      </c>
      <c r="AH55" s="177">
        <f t="shared" si="94"/>
        <v>0</v>
      </c>
      <c r="AI55" s="177">
        <f t="shared" si="94"/>
        <v>0</v>
      </c>
      <c r="AJ55" s="177">
        <f t="shared" si="94"/>
        <v>0</v>
      </c>
      <c r="AK55" s="1097">
        <f t="shared" si="94"/>
        <v>0</v>
      </c>
      <c r="AL55" s="177">
        <f>INDEX(MO_RIS_NCI,0,COLUMN())</f>
        <v>0</v>
      </c>
      <c r="AM55" s="177">
        <f>INDEX(MO_RIS_NCI,0,COLUMN())</f>
        <v>0</v>
      </c>
      <c r="AN55" s="177">
        <f>INDEX(MO_RIS_NCI,0,COLUMN())</f>
        <v>0</v>
      </c>
      <c r="AO55" s="177">
        <f t="shared" si="94"/>
        <v>0</v>
      </c>
      <c r="AP55" s="1097">
        <f t="shared" si="94"/>
        <v>0</v>
      </c>
      <c r="AQ55" s="177">
        <f>INDEX(MO_RIS_NCI,0,COLUMN())</f>
        <v>-6</v>
      </c>
      <c r="AR55" s="177">
        <f>INDEX(MO_RIS_NCI,0,COLUMN())</f>
        <v>6</v>
      </c>
      <c r="AS55" s="177">
        <f>INDEX(MO_RIS_NCI,0,COLUMN())</f>
        <v>-7</v>
      </c>
      <c r="AT55" s="177">
        <f t="shared" si="94"/>
        <v>-26</v>
      </c>
      <c r="AU55" s="1097">
        <f t="shared" si="94"/>
        <v>-33</v>
      </c>
      <c r="AV55" s="177">
        <f>INDEX(MO_RIS_NCI,0,COLUMN())</f>
        <v>-10</v>
      </c>
      <c r="AW55" s="177">
        <f>INDEX(MO_RIS_NCI,0,COLUMN())</f>
        <v>-9</v>
      </c>
      <c r="AX55" s="177">
        <f>INDEX(MO_RIS_NCI,0,COLUMN())</f>
        <v>-15</v>
      </c>
      <c r="AY55" s="177">
        <f t="shared" si="94"/>
        <v>-19</v>
      </c>
      <c r="AZ55" s="1097">
        <f t="shared" si="94"/>
        <v>-53</v>
      </c>
      <c r="BA55" s="177">
        <f>INDEX(MO_RIS_NCI,0,COLUMN())</f>
        <v>-1</v>
      </c>
      <c r="BB55" s="177">
        <f>INDEX(MO_RIS_NCI,0,COLUMN())</f>
        <v>-23</v>
      </c>
      <c r="BC55" s="177">
        <f>INDEX(MO_RIS_NCI,0,COLUMN())</f>
        <v>1</v>
      </c>
      <c r="BD55" s="177">
        <f>INDEX(MO_RIS_NCI,0,COLUMN())</f>
        <v>-2</v>
      </c>
      <c r="BE55" s="1097">
        <f>INDEX(MO_RIS_NCI,0,COLUMN())</f>
        <v>-25</v>
      </c>
      <c r="BF55" s="177">
        <f t="shared" si="95" ref="BF55:BJ55">INDEX(MO_RIS_NCI,0,COLUMN())</f>
        <v>-20</v>
      </c>
      <c r="BG55" s="177">
        <f t="shared" si="95"/>
        <v>16</v>
      </c>
      <c r="BH55" s="779">
        <f>INDEX(MO_RIS_NCI,0,COLUMN())</f>
        <v>-26</v>
      </c>
      <c r="BI55" s="177">
        <f t="shared" si="95"/>
        <v>0</v>
      </c>
      <c r="BJ55" s="1097">
        <f t="shared" si="95"/>
        <v>-30</v>
      </c>
      <c r="BK55" s="177">
        <f t="shared" si="96" ref="BK55:BR55">INDEX(MO_RIS_NCI,0,COLUMN())</f>
        <v>0</v>
      </c>
      <c r="BL55" s="177">
        <f t="shared" si="96"/>
        <v>0</v>
      </c>
      <c r="BM55" s="177">
        <f t="shared" si="96"/>
        <v>0</v>
      </c>
      <c r="BN55" s="177">
        <f t="shared" si="96"/>
        <v>0</v>
      </c>
      <c r="BO55" s="1097">
        <f t="shared" si="96"/>
        <v>0</v>
      </c>
      <c r="BP55" s="1097">
        <f t="shared" si="96"/>
        <v>0</v>
      </c>
      <c r="BQ55" s="1097">
        <f t="shared" si="96"/>
        <v>0</v>
      </c>
      <c r="BR55" s="1097">
        <f t="shared" si="96"/>
        <v>0</v>
      </c>
      <c r="BS55" s="177"/>
    </row>
    <row r="56" spans="1:71" s="427" customFormat="1" ht="15">
      <c r="A56" s="268" t="str">
        <f>INDEX(MO_RIS_Dividend_Prefs,0,COLUMN())</f>
        <v>Earnings to Preferred and Other Securities</v>
      </c>
      <c r="B56" s="269"/>
      <c r="C56" s="1098">
        <f t="shared" si="97" ref="C56:AZ56">INDEX(MO_RIS_Dividend_Prefs,0,COLUMN())</f>
        <v>0</v>
      </c>
      <c r="D56" s="1098">
        <f t="shared" si="97"/>
        <v>0</v>
      </c>
      <c r="E56" s="1098">
        <f t="shared" si="97"/>
        <v>0</v>
      </c>
      <c r="F56" s="1098">
        <f t="shared" si="97"/>
        <v>0</v>
      </c>
      <c r="G56" s="1098">
        <f t="shared" si="97"/>
        <v>17</v>
      </c>
      <c r="H56" s="179">
        <f t="shared" si="97"/>
        <v>13</v>
      </c>
      <c r="I56" s="179">
        <f t="shared" si="97"/>
        <v>31</v>
      </c>
      <c r="J56" s="179">
        <f t="shared" si="97"/>
        <v>31</v>
      </c>
      <c r="K56" s="179">
        <f t="shared" si="97"/>
        <v>29</v>
      </c>
      <c r="L56" s="1098">
        <f t="shared" si="97"/>
        <v>104</v>
      </c>
      <c r="M56" s="179">
        <f t="shared" si="97"/>
        <v>29</v>
      </c>
      <c r="N56" s="179">
        <f t="shared" si="97"/>
        <v>29</v>
      </c>
      <c r="O56" s="179">
        <f t="shared" si="97"/>
        <v>29</v>
      </c>
      <c r="P56" s="179">
        <f t="shared" si="97"/>
        <v>29</v>
      </c>
      <c r="Q56" s="1098">
        <f t="shared" si="97"/>
        <v>116</v>
      </c>
      <c r="R56" s="179">
        <f t="shared" si="97"/>
        <v>29</v>
      </c>
      <c r="S56" s="179">
        <f t="shared" si="97"/>
        <v>29</v>
      </c>
      <c r="T56" s="179">
        <f t="shared" si="97"/>
        <v>29</v>
      </c>
      <c r="U56" s="179">
        <f t="shared" si="97"/>
        <v>29</v>
      </c>
      <c r="V56" s="1098">
        <f t="shared" si="97"/>
        <v>116</v>
      </c>
      <c r="W56" s="179">
        <f t="shared" si="97"/>
        <v>29</v>
      </c>
      <c r="X56" s="179">
        <f t="shared" si="97"/>
        <v>29</v>
      </c>
      <c r="Y56" s="179">
        <f t="shared" si="97"/>
        <v>29</v>
      </c>
      <c r="Z56" s="179">
        <f t="shared" si="97"/>
        <v>29</v>
      </c>
      <c r="AA56" s="1098">
        <f t="shared" si="97"/>
        <v>116</v>
      </c>
      <c r="AB56" s="179">
        <f t="shared" si="97"/>
        <v>29</v>
      </c>
      <c r="AC56" s="179">
        <f t="shared" si="97"/>
        <v>39</v>
      </c>
      <c r="AD56" s="179">
        <f t="shared" si="97"/>
        <v>37</v>
      </c>
      <c r="AE56" s="179">
        <f t="shared" si="97"/>
        <v>43</v>
      </c>
      <c r="AF56" s="1098">
        <f t="shared" si="97"/>
        <v>148</v>
      </c>
      <c r="AG56" s="179">
        <f t="shared" si="97"/>
        <v>31</v>
      </c>
      <c r="AH56" s="179">
        <f t="shared" si="97"/>
        <v>30</v>
      </c>
      <c r="AI56" s="179">
        <f t="shared" si="97"/>
        <v>42</v>
      </c>
      <c r="AJ56" s="179">
        <f t="shared" si="97"/>
        <v>66</v>
      </c>
      <c r="AK56" s="1098">
        <f t="shared" si="97"/>
        <v>169</v>
      </c>
      <c r="AL56" s="179">
        <f>INDEX(MO_RIS_Dividend_Prefs,0,COLUMN())</f>
        <v>36</v>
      </c>
      <c r="AM56" s="179">
        <f>INDEX(MO_RIS_Dividend_Prefs,0,COLUMN())</f>
        <v>26</v>
      </c>
      <c r="AN56" s="179">
        <f>INDEX(MO_RIS_Dividend_Prefs,0,COLUMN())</f>
        <v>27</v>
      </c>
      <c r="AO56" s="179">
        <f t="shared" si="97"/>
        <v>26</v>
      </c>
      <c r="AP56" s="1098">
        <f t="shared" si="97"/>
        <v>115</v>
      </c>
      <c r="AQ56" s="179">
        <f>INDEX(MO_RIS_Dividend_Prefs,0,COLUMN())</f>
        <v>27</v>
      </c>
      <c r="AR56" s="179">
        <f>INDEX(MO_RIS_Dividend_Prefs,0,COLUMN())</f>
        <v>30</v>
      </c>
      <c r="AS56" s="179">
        <f>INDEX(MO_RIS_Dividend_Prefs,0,COLUMN())</f>
        <v>30</v>
      </c>
      <c r="AT56" s="179">
        <f t="shared" si="97"/>
        <v>27</v>
      </c>
      <c r="AU56" s="1098">
        <f t="shared" si="97"/>
        <v>114</v>
      </c>
      <c r="AV56" s="179">
        <f>INDEX(MO_RIS_Dividend_Prefs,0,COLUMN())</f>
        <v>26</v>
      </c>
      <c r="AW56" s="179">
        <f>INDEX(MO_RIS_Dividend_Prefs,0,COLUMN())</f>
        <v>27</v>
      </c>
      <c r="AX56" s="179">
        <f>INDEX(MO_RIS_Dividend_Prefs,0,COLUMN())</f>
        <v>26</v>
      </c>
      <c r="AY56" s="179">
        <f t="shared" si="97"/>
        <v>26</v>
      </c>
      <c r="AZ56" s="1098">
        <f t="shared" si="97"/>
        <v>105</v>
      </c>
      <c r="BA56" s="179">
        <f>INDEX(MO_RIS_Dividend_Prefs,0,COLUMN())</f>
        <v>26</v>
      </c>
      <c r="BB56" s="179">
        <f>INDEX(MO_RIS_Dividend_Prefs,0,COLUMN())</f>
        <v>37</v>
      </c>
      <c r="BC56" s="179">
        <f>INDEX(MO_RIS_Dividend_Prefs,0,COLUMN())</f>
        <v>36</v>
      </c>
      <c r="BD56" s="179">
        <f>INDEX(MO_RIS_Dividend_Prefs,0,COLUMN())</f>
        <v>29</v>
      </c>
      <c r="BE56" s="1098">
        <f>INDEX(MO_RIS_Dividend_Prefs,0,COLUMN())</f>
        <v>128</v>
      </c>
      <c r="BF56" s="179">
        <f t="shared" si="98" ref="BF56:BJ56">INDEX(MO_RIS_Dividend_Prefs,0,COLUMN())</f>
        <v>29</v>
      </c>
      <c r="BG56" s="179">
        <f t="shared" si="98"/>
        <v>30</v>
      </c>
      <c r="BH56" s="780">
        <f>INDEX(MO_RIS_Dividend_Prefs,0,COLUMN())</f>
        <v>29</v>
      </c>
      <c r="BI56" s="179">
        <f t="shared" si="98"/>
        <v>30</v>
      </c>
      <c r="BJ56" s="1098">
        <f t="shared" si="98"/>
        <v>118</v>
      </c>
      <c r="BK56" s="179">
        <f t="shared" si="99" ref="BK56:BR56">INDEX(MO_RIS_Dividend_Prefs,0,COLUMN())</f>
        <v>30</v>
      </c>
      <c r="BL56" s="179">
        <f t="shared" si="99"/>
        <v>30</v>
      </c>
      <c r="BM56" s="179">
        <f t="shared" si="99"/>
        <v>30</v>
      </c>
      <c r="BN56" s="179">
        <f t="shared" si="99"/>
        <v>30</v>
      </c>
      <c r="BO56" s="1098">
        <f t="shared" si="99"/>
        <v>120</v>
      </c>
      <c r="BP56" s="1098">
        <f t="shared" si="99"/>
        <v>120</v>
      </c>
      <c r="BQ56" s="1098">
        <f t="shared" si="99"/>
        <v>120</v>
      </c>
      <c r="BR56" s="1098">
        <f t="shared" si="99"/>
        <v>120</v>
      </c>
      <c r="BS56" s="177"/>
    </row>
    <row r="57" spans="1:71" s="70" customFormat="1" ht="15">
      <c r="A57" s="261" t="str">
        <f>INDEX(MO_RIS_NI_GAAP_Basic,0,COLUMN())</f>
        <v>Net Income to Common Shareholders</v>
      </c>
      <c r="B57" s="262"/>
      <c r="C57" s="1095">
        <f t="shared" si="100" ref="C57:AZ57">INDEX(SP_GF_EBT,0,COLUMN())-INDEX(SP_GF_Tax,0,COLUMN())-INDEX(SP_GF_DisCont,0,COLUMN())-INDEX(SP_GF_NCI,0,COLUMN())-INDEX(SP_GF_Div_Prefs,0,COLUMN())-INDEX(SP_GF_EI,0,COLUMN())</f>
        <v>854</v>
      </c>
      <c r="D57" s="1095">
        <f t="shared" si="100"/>
        <v>928</v>
      </c>
      <c r="E57" s="1095">
        <f t="shared" si="100"/>
        <v>787</v>
      </c>
      <c r="F57" s="1095">
        <f t="shared" si="100"/>
        <v>2306</v>
      </c>
      <c r="G57" s="1095">
        <f t="shared" si="100"/>
        <v>2263</v>
      </c>
      <c r="H57" s="173">
        <f t="shared" si="100"/>
        <v>587</v>
      </c>
      <c r="I57" s="173">
        <f t="shared" si="100"/>
        <v>614</v>
      </c>
      <c r="J57" s="173">
        <f t="shared" si="100"/>
        <v>750</v>
      </c>
      <c r="K57" s="173">
        <f t="shared" si="100"/>
        <v>795</v>
      </c>
      <c r="L57" s="1095">
        <f t="shared" si="100"/>
        <v>2746</v>
      </c>
      <c r="M57" s="173">
        <f t="shared" si="100"/>
        <v>648</v>
      </c>
      <c r="N57" s="173">
        <f t="shared" si="100"/>
        <v>326</v>
      </c>
      <c r="O57" s="173">
        <f t="shared" si="100"/>
        <v>621</v>
      </c>
      <c r="P57" s="173">
        <f t="shared" si="100"/>
        <v>460</v>
      </c>
      <c r="Q57" s="1095">
        <f t="shared" si="100"/>
        <v>2055</v>
      </c>
      <c r="R57" s="173">
        <f t="shared" si="100"/>
        <v>217</v>
      </c>
      <c r="S57" s="173">
        <f t="shared" si="100"/>
        <v>242</v>
      </c>
      <c r="T57" s="173">
        <f t="shared" si="100"/>
        <v>491</v>
      </c>
      <c r="U57" s="173">
        <f t="shared" si="100"/>
        <v>811</v>
      </c>
      <c r="V57" s="1095">
        <f t="shared" si="100"/>
        <v>1761</v>
      </c>
      <c r="W57" s="173">
        <f t="shared" si="100"/>
        <v>666</v>
      </c>
      <c r="X57" s="173">
        <f t="shared" si="100"/>
        <v>550</v>
      </c>
      <c r="Y57" s="173">
        <f t="shared" si="100"/>
        <v>637</v>
      </c>
      <c r="Z57" s="173">
        <f t="shared" si="100"/>
        <v>1220</v>
      </c>
      <c r="AA57" s="1095">
        <f t="shared" si="100"/>
        <v>3073</v>
      </c>
      <c r="AB57" s="173">
        <f t="shared" si="100"/>
        <v>946</v>
      </c>
      <c r="AC57" s="173">
        <f t="shared" si="100"/>
        <v>637</v>
      </c>
      <c r="AD57" s="173">
        <f t="shared" si="100"/>
        <v>833</v>
      </c>
      <c r="AE57" s="173">
        <f t="shared" si="100"/>
        <v>-312</v>
      </c>
      <c r="AF57" s="1095">
        <f t="shared" si="100"/>
        <v>2104</v>
      </c>
      <c r="AG57" s="173">
        <f t="shared" si="100"/>
        <v>1261</v>
      </c>
      <c r="AH57" s="173">
        <f t="shared" si="100"/>
        <v>821</v>
      </c>
      <c r="AI57" s="173">
        <f t="shared" si="100"/>
        <v>889</v>
      </c>
      <c r="AJ57" s="173">
        <f t="shared" si="100"/>
        <v>1707</v>
      </c>
      <c r="AK57" s="1095">
        <f t="shared" si="100"/>
        <v>4678</v>
      </c>
      <c r="AL57" s="173">
        <f>INDEX(SP_GF_EBT,0,COLUMN())-INDEX(SP_GF_Tax,0,COLUMN())-INDEX(SP_GF_DisCont,0,COLUMN())-INDEX(SP_GF_NCI,0,COLUMN())-INDEX(SP_GF_Div_Prefs,0,COLUMN())-INDEX(SP_GF_EI,0,COLUMN())</f>
        <v>513</v>
      </c>
      <c r="AM57" s="173">
        <f>INDEX(SP_GF_EBT,0,COLUMN())-INDEX(SP_GF_Tax,0,COLUMN())-INDEX(SP_GF_DisCont,0,COLUMN())-INDEX(SP_GF_NCI,0,COLUMN())-INDEX(SP_GF_Div_Prefs,0,COLUMN())-INDEX(SP_GF_EI,0,COLUMN())</f>
        <v>1224</v>
      </c>
      <c r="AN57" s="173">
        <f>INDEX(SP_GF_EBT,0,COLUMN())-INDEX(SP_GF_Tax,0,COLUMN())-INDEX(SP_GF_DisCont,0,COLUMN())-INDEX(SP_GF_NCI,0,COLUMN())-INDEX(SP_GF_Div_Prefs,0,COLUMN())-INDEX(SP_GF_EI,0,COLUMN())</f>
        <v>1126</v>
      </c>
      <c r="AO57" s="173">
        <f t="shared" si="100"/>
        <v>2598</v>
      </c>
      <c r="AP57" s="1095">
        <f t="shared" si="100"/>
        <v>5461</v>
      </c>
      <c r="AQ57" s="173">
        <f>INDEX(SP_GF_EBT,0,COLUMN())-INDEX(SP_GF_Tax,0,COLUMN())-INDEX(SP_GF_DisCont,0,COLUMN())-INDEX(SP_GF_NCI,0,COLUMN())-INDEX(SP_GF_Div_Prefs,0,COLUMN())-INDEX(SP_GF_EI,0,COLUMN())</f>
        <v>-1408</v>
      </c>
      <c r="AR57" s="173">
        <f>INDEX(SP_GF_EBT,0,COLUMN())-INDEX(SP_GF_Tax,0,COLUMN())-INDEX(SP_GF_DisCont,0,COLUMN())-INDEX(SP_GF_NCI,0,COLUMN())-INDEX(SP_GF_Div_Prefs,0,COLUMN())-INDEX(SP_GF_EI,0,COLUMN())</f>
        <v>1595</v>
      </c>
      <c r="AS57" s="173">
        <f>INDEX(SP_GF_EBT,0,COLUMN())-INDEX(SP_GF_Tax,0,COLUMN())-INDEX(SP_GF_DisCont,0,COLUMN())-INDEX(SP_GF_NCI,0,COLUMN())-INDEX(SP_GF_Div_Prefs,0,COLUMN())-INDEX(SP_GF_EI,0,COLUMN())</f>
        <v>508</v>
      </c>
      <c r="AT57" s="173">
        <f t="shared" si="100"/>
        <v>790</v>
      </c>
      <c r="AU57" s="1095">
        <f t="shared" si="100"/>
        <v>1485</v>
      </c>
      <c r="AV57" s="173">
        <f>INDEX(SP_GF_EBT,0,COLUMN())-INDEX(SP_GF_Tax,0,COLUMN())-INDEX(SP_GF_DisCont,0,COLUMN())-INDEX(SP_GF_NCI,0,COLUMN())-INDEX(SP_GF_Div_Prefs,0,COLUMN())-INDEX(SP_GF_EI,0,COLUMN())</f>
        <v>634</v>
      </c>
      <c r="AW57" s="173">
        <f>INDEX(SP_GF_EBT,0,COLUMN())-INDEX(SP_GF_Tax,0,COLUMN())-INDEX(SP_GF_DisCont,0,COLUMN())-INDEX(SP_GF_NCI,0,COLUMN())-INDEX(SP_GF_Div_Prefs,0,COLUMN())-INDEX(SP_GF_EI,0,COLUMN())</f>
        <v>-1040</v>
      </c>
      <c r="AX57" s="173">
        <f>INDEX(SP_GF_EBT,0,COLUMN())-INDEX(SP_GF_Tax,0,COLUMN())-INDEX(SP_GF_DisCont,0,COLUMN())-INDEX(SP_GF_NCI,0,COLUMN())-INDEX(SP_GF_Div_Prefs,0,COLUMN())-INDEX(SP_GF_EI,0,COLUMN())</f>
        <v>-685</v>
      </c>
      <c r="AY57" s="173">
        <f t="shared" si="100"/>
        <v>-303</v>
      </c>
      <c r="AZ57" s="1095">
        <f t="shared" si="100"/>
        <v>-1394</v>
      </c>
      <c r="BA57" s="173">
        <f>INDEX(SP_GF_EBT,0,COLUMN())-INDEX(SP_GF_Tax,0,COLUMN())-INDEX(SP_GF_DisCont,0,COLUMN())-INDEX(SP_GF_NCI,0,COLUMN())-INDEX(SP_GF_Div_Prefs,0,COLUMN())-INDEX(SP_GF_EI,0,COLUMN())</f>
        <v>-346</v>
      </c>
      <c r="BB57" s="173">
        <f>INDEX(SP_GF_EBT,0,COLUMN())-INDEX(SP_GF_Tax,0,COLUMN())-INDEX(SP_GF_DisCont,0,COLUMN())-INDEX(SP_GF_NCI,0,COLUMN())-INDEX(SP_GF_Div_Prefs,0,COLUMN())-INDEX(SP_GF_EI,0,COLUMN())</f>
        <v>-1389</v>
      </c>
      <c r="BC57" s="173">
        <f>INDEX(SP_GF_EBT,0,COLUMN())-INDEX(SP_GF_Tax,0,COLUMN())-INDEX(SP_GF_DisCont,0,COLUMN())-INDEX(SP_GF_NCI,0,COLUMN())-INDEX(SP_GF_Div_Prefs,0,COLUMN())-INDEX(SP_GF_EI,0,COLUMN())</f>
        <v>-41</v>
      </c>
      <c r="BD57" s="173">
        <f>INDEX(SP_GF_EBT,0,COLUMN())-INDEX(SP_GF_Tax,0,COLUMN())-INDEX(SP_GF_DisCont,0,COLUMN())-INDEX(SP_GF_NCI,0,COLUMN())-INDEX(SP_GF_Div_Prefs,0,COLUMN())-INDEX(SP_GF_EI,0,COLUMN())</f>
        <v>1460</v>
      </c>
      <c r="BE57" s="1095">
        <f>INDEX(SP_GF_EBT,0,COLUMN())-INDEX(SP_GF_Tax,0,COLUMN())-INDEX(SP_GF_DisCont,0,COLUMN())-INDEX(SP_GF_NCI,0,COLUMN())-INDEX(SP_GF_Div_Prefs,0,COLUMN())-INDEX(SP_GF_EI,0,COLUMN())</f>
        <v>-316</v>
      </c>
      <c r="BF57" s="173">
        <f t="shared" si="101" ref="BF57:BJ57">INDEX(SP_GF_EBT,0,COLUMN())-INDEX(SP_GF_Tax,0,COLUMN())-INDEX(SP_GF_DisCont,0,COLUMN())-INDEX(SP_GF_NCI,0,COLUMN())-INDEX(SP_GF_Div_Prefs,0,COLUMN())-INDEX(SP_GF_EI,0,COLUMN())</f>
        <v>1189</v>
      </c>
      <c r="BG57" s="173">
        <f t="shared" si="101"/>
        <v>301</v>
      </c>
      <c r="BH57" s="777">
        <f>INDEX(SP_GF_EBT,0,COLUMN())-INDEX(SP_GF_Tax,0,COLUMN())-INDEX(SP_GF_DisCont,0,COLUMN())-INDEX(SP_GF_NCI,0,COLUMN())-INDEX(SP_GF_Div_Prefs,0,COLUMN())-INDEX(SP_GF_EI,0,COLUMN())</f>
        <v>1161</v>
      </c>
      <c r="BI57" s="173">
        <f t="shared" si="101"/>
        <v>1337.403136004099</v>
      </c>
      <c r="BJ57" s="1095">
        <f t="shared" si="101"/>
        <v>3988.403136004099</v>
      </c>
      <c r="BK57" s="173">
        <f t="shared" si="102" ref="BK57:BR57">INDEX(SP_GF_EBT,0,COLUMN())-INDEX(SP_GF_Tax,0,COLUMN())-INDEX(SP_GF_DisCont,0,COLUMN())-INDEX(SP_GF_NCI,0,COLUMN())-INDEX(SP_GF_Div_Prefs,0,COLUMN())-INDEX(SP_GF_EI,0,COLUMN())</f>
        <v>1457.2043861260277</v>
      </c>
      <c r="BL57" s="173">
        <f t="shared" si="102"/>
        <v>867.28568412054733</v>
      </c>
      <c r="BM57" s="173">
        <f t="shared" si="102"/>
        <v>1218.7151435068499</v>
      </c>
      <c r="BN57" s="173">
        <f t="shared" si="102"/>
        <v>1678.40291410444</v>
      </c>
      <c r="BO57" s="1095">
        <f t="shared" si="102"/>
        <v>5221.6081278578622</v>
      </c>
      <c r="BP57" s="1095">
        <f t="shared" si="102"/>
        <v>5589.4346056623635</v>
      </c>
      <c r="BQ57" s="1095">
        <f t="shared" si="102"/>
        <v>5724.6314582053392</v>
      </c>
      <c r="BR57" s="1095">
        <f t="shared" si="102"/>
        <v>5880.451765037782</v>
      </c>
      <c r="BS57" s="175"/>
    </row>
    <row r="58" spans="1:71" s="71" customFormat="1" ht="15">
      <c r="A58" s="278" t="str">
        <f>INDEX(MO_RIS_EPS_WAD,0,COLUMN())</f>
        <v>Earnings Per Share - WAD</v>
      </c>
      <c r="B58" s="279"/>
      <c r="C58" s="1092">
        <f t="shared" si="103" ref="C58:AH58">INDEX(MO_RIS_EPS_WAD,0,COLUMN())</f>
        <v>1.5788500647069699</v>
      </c>
      <c r="D58" s="1092">
        <f t="shared" si="103"/>
        <v>1.7105990783410139</v>
      </c>
      <c r="E58" s="1092">
        <f t="shared" si="103"/>
        <v>1.5044924488625502</v>
      </c>
      <c r="F58" s="1092">
        <f t="shared" si="103"/>
        <v>4.6774847870182557</v>
      </c>
      <c r="G58" s="1092">
        <f t="shared" si="103"/>
        <v>4.8118222411226874</v>
      </c>
      <c r="H58" s="337">
        <f t="shared" si="103"/>
        <v>1.2963780918727914</v>
      </c>
      <c r="I58" s="337">
        <f t="shared" si="103"/>
        <v>1.393238030406172</v>
      </c>
      <c r="J58" s="337">
        <f t="shared" si="103"/>
        <v>1.7393320964749537</v>
      </c>
      <c r="K58" s="337">
        <f t="shared" si="103"/>
        <v>1.8587795183539866</v>
      </c>
      <c r="L58" s="1092">
        <f t="shared" si="103"/>
        <v>6.2665449566408036</v>
      </c>
      <c r="M58" s="337">
        <f t="shared" si="103"/>
        <v>1.533364884051112</v>
      </c>
      <c r="N58" s="337">
        <f t="shared" si="103"/>
        <v>0.79011148812409104</v>
      </c>
      <c r="O58" s="337">
        <f t="shared" si="103"/>
        <v>1.5443919423029095</v>
      </c>
      <c r="P58" s="337">
        <f t="shared" si="103"/>
        <v>1.1788826242952333</v>
      </c>
      <c r="Q58" s="1092">
        <f t="shared" si="103"/>
        <v>5.0516224188790559</v>
      </c>
      <c r="R58" s="337">
        <f t="shared" si="103"/>
        <v>0.56672760511883002</v>
      </c>
      <c r="S58" s="337">
        <f t="shared" si="103"/>
        <v>0.64004231684739488</v>
      </c>
      <c r="T58" s="337">
        <f t="shared" si="103"/>
        <v>1.306198457036446</v>
      </c>
      <c r="U58" s="337">
        <f t="shared" si="103"/>
        <v>2.1771812080536912</v>
      </c>
      <c r="V58" s="1092">
        <f t="shared" si="103"/>
        <v>4.6673734428836466</v>
      </c>
      <c r="W58" s="337">
        <f t="shared" si="103"/>
        <v>1.793697818475626</v>
      </c>
      <c r="X58" s="337">
        <f t="shared" si="103"/>
        <v>1.4905149051490514</v>
      </c>
      <c r="Y58" s="337">
        <f t="shared" si="103"/>
        <v>1.7352220103514029</v>
      </c>
      <c r="Z58" s="337">
        <f t="shared" si="103"/>
        <v>3.353490929081913</v>
      </c>
      <c r="AA58" s="1092">
        <f t="shared" si="103"/>
        <v>8.3550842849374654</v>
      </c>
      <c r="AB58" s="337">
        <f t="shared" si="103"/>
        <v>2.6285079188663518</v>
      </c>
      <c r="AC58" s="337">
        <f t="shared" si="103"/>
        <v>1.79639029892837</v>
      </c>
      <c r="AD58" s="337">
        <f t="shared" si="103"/>
        <v>2.3684958771680411</v>
      </c>
      <c r="AE58" s="337">
        <f t="shared" si="103"/>
        <v>-0.9125475285171103</v>
      </c>
      <c r="AF58" s="1092">
        <f t="shared" si="103"/>
        <v>5.9569648924122314</v>
      </c>
      <c r="AG58" s="337">
        <f t="shared" si="103"/>
        <v>3.7362962962962962</v>
      </c>
      <c r="AH58" s="337">
        <f t="shared" si="103"/>
        <v>2.4369249035322054</v>
      </c>
      <c r="AI58" s="337">
        <f t="shared" si="104" ref="AI58:BE58">INDEX(MO_RIS_EPS_WAD,0,COLUMN())</f>
        <v>2.6696696696696698</v>
      </c>
      <c r="AJ58" s="337">
        <f t="shared" si="104"/>
        <v>5.2313821636530795</v>
      </c>
      <c r="AK58" s="1092">
        <f t="shared" si="104"/>
        <v>14.026986506746626</v>
      </c>
      <c r="AL58" s="337">
        <f t="shared" si="104"/>
        <v>1.5911910669975187</v>
      </c>
      <c r="AM58" s="337">
        <f t="shared" si="104"/>
        <v>3.861198738170347</v>
      </c>
      <c r="AN58" s="337">
        <f t="shared" si="104"/>
        <v>3.5848455905762493</v>
      </c>
      <c r="AO58" s="337">
        <f t="shared" si="104"/>
        <v>8.4460338101430423</v>
      </c>
      <c r="AP58" s="1092">
        <f t="shared" si="104"/>
        <v>17.30903328050713</v>
      </c>
      <c r="AQ58" s="337">
        <f t="shared" si="104"/>
        <v>-4.5953002610966065</v>
      </c>
      <c r="AR58" s="337">
        <f t="shared" si="104"/>
        <v>5.2588196505110449</v>
      </c>
      <c r="AS58" s="337">
        <f t="shared" si="104"/>
        <v>1.7052702249076872</v>
      </c>
      <c r="AT58" s="337">
        <f t="shared" si="104"/>
        <v>2.7335640138408306</v>
      </c>
      <c r="AU58" s="1092">
        <f t="shared" si="104"/>
        <v>4.9648946840521564</v>
      </c>
      <c r="AV58" s="337">
        <f t="shared" si="104"/>
        <v>2.2498225691980127</v>
      </c>
      <c r="AW58" s="337">
        <f t="shared" si="104"/>
        <v>-3.7983929875821767</v>
      </c>
      <c r="AX58" s="337">
        <f>INDEX(MO_RIS_EPS_WAD,0,COLUMN())</f>
        <v>-2.549311499813919</v>
      </c>
      <c r="AY58" s="337">
        <f t="shared" si="104"/>
        <v>-1.1459909228441756</v>
      </c>
      <c r="AZ58" s="1092">
        <f t="shared" si="104"/>
        <v>-5.1401179941002955</v>
      </c>
      <c r="BA58" s="337">
        <f>INDEX(MO_RIS_EPS_WAD,0,COLUMN())</f>
        <v>-1.3130929791271346</v>
      </c>
      <c r="BB58" s="337">
        <f>INDEX(MO_RIS_EPS_WAD,0,COLUMN())</f>
        <v>-5.2894135567402891</v>
      </c>
      <c r="BC58" s="337">
        <f>INDEX(MO_RIS_EPS_WAD,0,COLUMN())</f>
        <v>-0.15660809778456836</v>
      </c>
      <c r="BD58" s="337">
        <f t="shared" si="104"/>
        <v>5.5156781261805818</v>
      </c>
      <c r="BE58" s="1092">
        <f t="shared" si="104"/>
        <v>-1.2038095238095239</v>
      </c>
      <c r="BF58" s="337">
        <f t="shared" si="105" ref="BF58:BJ58">INDEX(MO_RIS_EPS_WAD,0,COLUMN())</f>
        <v>4.4615384615384617</v>
      </c>
      <c r="BG58" s="337">
        <f t="shared" si="105"/>
        <v>1.1269187570198427</v>
      </c>
      <c r="BH58" s="785">
        <f>INDEX(MO_RIS_EPS_WAD,0,COLUMN())</f>
        <v>4.3320895522388057</v>
      </c>
      <c r="BI58" s="337">
        <f t="shared" ca="1" si="105"/>
        <v>4.9325376409905228</v>
      </c>
      <c r="BJ58" s="1092">
        <f t="shared" ca="1" si="105"/>
        <v>14.785604936795796</v>
      </c>
      <c r="BK58" s="337">
        <f ca="1" t="shared" si="106" ref="BK58:BR58">INDEX(MO_RIS_EPS_WAD,0,COLUMN())</f>
        <v>5.3709559264561753</v>
      </c>
      <c r="BL58" s="337">
        <f t="shared" ca="1" si="106"/>
        <v>3.1966368132074696</v>
      </c>
      <c r="BM58" s="337">
        <f t="shared" ca="1" si="106"/>
        <v>4.4919335852959055</v>
      </c>
      <c r="BN58" s="337">
        <f t="shared" ca="1" si="106"/>
        <v>6.1862482465180566</v>
      </c>
      <c r="BO58" s="1092">
        <f t="shared" ca="1" si="106"/>
        <v>19.2457745714776</v>
      </c>
      <c r="BP58" s="1092">
        <f t="shared" ca="1" si="106"/>
        <v>20.601507384033606</v>
      </c>
      <c r="BQ58" s="1092">
        <f t="shared" ca="1" si="106"/>
        <v>21.099815200917377</v>
      </c>
      <c r="BR58" s="1092">
        <f t="shared" ca="1" si="106"/>
        <v>21.674136832400272</v>
      </c>
      <c r="BS58" s="337"/>
    </row>
    <row r="59" spans="1:71" s="66" customFormat="1" ht="15">
      <c r="A59" s="665" t="str">
        <f>INDEX(MO_RIS_ShareCount_WAD_Adj,0,COLUMN())</f>
        <v>Adjusted Shares Outstanding - WAD</v>
      </c>
      <c r="B59" s="260"/>
      <c r="C59" s="1100">
        <f t="shared" si="107" ref="C59:AH59">INDEX(MO_RIS_ShareCount_WAD_Adj,0,COLUMN())</f>
        <v>540.90</v>
      </c>
      <c r="D59" s="1100">
        <f t="shared" si="107"/>
        <v>542.50</v>
      </c>
      <c r="E59" s="1100">
        <f t="shared" si="107"/>
        <v>523.10</v>
      </c>
      <c r="F59" s="1100">
        <f t="shared" si="107"/>
        <v>493</v>
      </c>
      <c r="G59" s="1100">
        <f t="shared" si="107"/>
        <v>470.30</v>
      </c>
      <c r="H59" s="880">
        <f t="shared" si="107"/>
        <v>452.80</v>
      </c>
      <c r="I59" s="880">
        <f t="shared" si="107"/>
        <v>440.70</v>
      </c>
      <c r="J59" s="880">
        <f t="shared" si="107"/>
        <v>431.20</v>
      </c>
      <c r="K59" s="880">
        <f t="shared" si="107"/>
        <v>427.70</v>
      </c>
      <c r="L59" s="1100">
        <f t="shared" si="107"/>
        <v>438.20</v>
      </c>
      <c r="M59" s="880">
        <f t="shared" si="107"/>
        <v>422.60</v>
      </c>
      <c r="N59" s="880">
        <f t="shared" si="107"/>
        <v>412.60</v>
      </c>
      <c r="O59" s="880">
        <f t="shared" si="107"/>
        <v>402.10</v>
      </c>
      <c r="P59" s="880">
        <f t="shared" si="107"/>
        <v>390.20</v>
      </c>
      <c r="Q59" s="1100">
        <f t="shared" si="107"/>
        <v>406.80</v>
      </c>
      <c r="R59" s="880">
        <f t="shared" si="107"/>
        <v>382.90</v>
      </c>
      <c r="S59" s="880">
        <f t="shared" si="107"/>
        <v>378.10</v>
      </c>
      <c r="T59" s="880">
        <f t="shared" si="107"/>
        <v>375.90</v>
      </c>
      <c r="U59" s="880">
        <f t="shared" si="107"/>
        <v>372.50</v>
      </c>
      <c r="V59" s="1100">
        <f t="shared" si="107"/>
        <v>377.30</v>
      </c>
      <c r="W59" s="880">
        <f t="shared" si="107"/>
        <v>371.30</v>
      </c>
      <c r="X59" s="880">
        <f t="shared" si="107"/>
        <v>369</v>
      </c>
      <c r="Y59" s="880">
        <f t="shared" si="107"/>
        <v>367.10</v>
      </c>
      <c r="Z59" s="880">
        <f t="shared" si="107"/>
        <v>363.80</v>
      </c>
      <c r="AA59" s="1100">
        <f t="shared" si="107"/>
        <v>367.80</v>
      </c>
      <c r="AB59" s="880">
        <f t="shared" si="107"/>
        <v>359.90</v>
      </c>
      <c r="AC59" s="880">
        <f t="shared" si="107"/>
        <v>354.60</v>
      </c>
      <c r="AD59" s="880">
        <f t="shared" si="107"/>
        <v>351.70</v>
      </c>
      <c r="AE59" s="880">
        <f t="shared" si="107"/>
        <v>347.10</v>
      </c>
      <c r="AF59" s="1100">
        <f t="shared" si="107"/>
        <v>353.20</v>
      </c>
      <c r="AG59" s="880">
        <f t="shared" si="107"/>
        <v>337.50</v>
      </c>
      <c r="AH59" s="880">
        <f t="shared" si="107"/>
        <v>336.90</v>
      </c>
      <c r="AI59" s="880">
        <f t="shared" si="108" ref="AI59:BJ59">INDEX(MO_RIS_ShareCount_WAD_Adj,0,COLUMN())</f>
        <v>333</v>
      </c>
      <c r="AJ59" s="880">
        <f t="shared" si="108"/>
        <v>326.30</v>
      </c>
      <c r="AK59" s="1100">
        <f t="shared" si="108"/>
        <v>333.50</v>
      </c>
      <c r="AL59" s="880">
        <f t="shared" si="108"/>
        <v>322.39999999999998</v>
      </c>
      <c r="AM59" s="880">
        <f t="shared" si="108"/>
        <v>317</v>
      </c>
      <c r="AN59" s="880">
        <f t="shared" si="108"/>
        <v>314.10000000000002</v>
      </c>
      <c r="AO59" s="880">
        <f t="shared" si="108"/>
        <v>307.60000000000002</v>
      </c>
      <c r="AP59" s="1100">
        <f t="shared" si="108"/>
        <v>315.50</v>
      </c>
      <c r="AQ59" s="880">
        <f t="shared" si="108"/>
        <v>306.39999999999998</v>
      </c>
      <c r="AR59" s="880">
        <f t="shared" si="108"/>
        <v>303.30</v>
      </c>
      <c r="AS59" s="880">
        <f t="shared" si="108"/>
        <v>297.89999999999998</v>
      </c>
      <c r="AT59" s="880">
        <f t="shared" si="108"/>
        <v>289</v>
      </c>
      <c r="AU59" s="1100">
        <f t="shared" si="108"/>
        <v>299.10000000000002</v>
      </c>
      <c r="AV59" s="880">
        <f t="shared" si="108"/>
        <v>281.80</v>
      </c>
      <c r="AW59" s="880">
        <f t="shared" si="108"/>
        <v>273.80</v>
      </c>
      <c r="AX59" s="880">
        <f t="shared" si="108"/>
        <v>268.70</v>
      </c>
      <c r="AY59" s="880">
        <f t="shared" si="108"/>
        <v>264.39999999999998</v>
      </c>
      <c r="AZ59" s="1100">
        <f t="shared" si="108"/>
        <v>271.20</v>
      </c>
      <c r="BA59" s="880">
        <f t="shared" si="108"/>
        <v>263.50</v>
      </c>
      <c r="BB59" s="880">
        <f t="shared" si="108"/>
        <v>262.60000000000002</v>
      </c>
      <c r="BC59" s="880">
        <f t="shared" si="108"/>
        <v>263.30</v>
      </c>
      <c r="BD59" s="880">
        <f t="shared" si="108"/>
        <v>264.70</v>
      </c>
      <c r="BE59" s="1100">
        <f t="shared" si="108"/>
        <v>264.70</v>
      </c>
      <c r="BF59" s="880">
        <f t="shared" si="108"/>
        <v>266.50</v>
      </c>
      <c r="BG59" s="880">
        <f t="shared" si="108"/>
        <v>267.10000000000002</v>
      </c>
      <c r="BH59" s="881">
        <f>INDEX(MO_RIS_ShareCount_WAD_Adj,0,COLUMN())</f>
        <v>268</v>
      </c>
      <c r="BI59" s="880">
        <f t="shared" ca="1" si="108"/>
        <v>271.13896199999999</v>
      </c>
      <c r="BJ59" s="1100">
        <f t="shared" ca="1" si="108"/>
        <v>269.74906695081967</v>
      </c>
      <c r="BK59" s="880">
        <f ca="1" t="shared" si="109" ref="BK59:BR59">INDEX(MO_RIS_ShareCount_WAD_Adj,0,COLUMN())</f>
        <v>271.31192400000003</v>
      </c>
      <c r="BL59" s="880">
        <f t="shared" ca="1" si="109"/>
        <v>271.31192400000003</v>
      </c>
      <c r="BM59" s="880">
        <f t="shared" ca="1" si="109"/>
        <v>271.31192400000003</v>
      </c>
      <c r="BN59" s="880">
        <f t="shared" ca="1" si="109"/>
        <v>271.31192400000003</v>
      </c>
      <c r="BO59" s="1100">
        <f t="shared" ca="1" si="109"/>
        <v>271.31192400000003</v>
      </c>
      <c r="BP59" s="1100">
        <f t="shared" ca="1" si="109"/>
        <v>271.31192400000003</v>
      </c>
      <c r="BQ59" s="1100">
        <f t="shared" ca="1" si="109"/>
        <v>271.31192400000003</v>
      </c>
      <c r="BR59" s="1100">
        <f t="shared" ca="1" si="109"/>
        <v>271.31192400000003</v>
      </c>
      <c r="BS59" s="828"/>
    </row>
    <row r="60" spans="1:71" s="66" customFormat="1" ht="15">
      <c r="A60" s="259"/>
      <c r="B60" s="260"/>
      <c r="C60" s="1100"/>
      <c r="D60" s="1100"/>
      <c r="E60" s="1100"/>
      <c r="F60" s="1100"/>
      <c r="G60" s="1100"/>
      <c r="H60" s="880"/>
      <c r="I60" s="880"/>
      <c r="J60" s="880"/>
      <c r="K60" s="880"/>
      <c r="L60" s="1100"/>
      <c r="M60" s="880"/>
      <c r="N60" s="880"/>
      <c r="O60" s="880"/>
      <c r="P60" s="880"/>
      <c r="Q60" s="1100"/>
      <c r="R60" s="880"/>
      <c r="S60" s="880"/>
      <c r="T60" s="880"/>
      <c r="U60" s="880"/>
      <c r="V60" s="1100"/>
      <c r="W60" s="880"/>
      <c r="X60" s="880"/>
      <c r="Y60" s="880"/>
      <c r="Z60" s="880"/>
      <c r="AA60" s="1100"/>
      <c r="AB60" s="880"/>
      <c r="AC60" s="880"/>
      <c r="AD60" s="880"/>
      <c r="AE60" s="880"/>
      <c r="AF60" s="1100"/>
      <c r="AG60" s="880"/>
      <c r="AH60" s="880"/>
      <c r="AI60" s="880"/>
      <c r="AJ60" s="880"/>
      <c r="AK60" s="1100"/>
      <c r="AL60" s="880"/>
      <c r="AM60" s="880"/>
      <c r="AN60" s="880"/>
      <c r="AO60" s="880"/>
      <c r="AP60" s="1100"/>
      <c r="AQ60" s="880"/>
      <c r="AR60" s="880"/>
      <c r="AS60" s="880"/>
      <c r="AT60" s="880"/>
      <c r="AU60" s="1100"/>
      <c r="AV60" s="880"/>
      <c r="AW60" s="880"/>
      <c r="AX60" s="880"/>
      <c r="AY60" s="880"/>
      <c r="AZ60" s="1100"/>
      <c r="BA60" s="880"/>
      <c r="BB60" s="880"/>
      <c r="BC60" s="880"/>
      <c r="BD60" s="880"/>
      <c r="BE60" s="1100"/>
      <c r="BF60" s="880"/>
      <c r="BG60" s="880"/>
      <c r="BH60" s="881"/>
      <c r="BI60" s="880"/>
      <c r="BJ60" s="1100"/>
      <c r="BK60" s="880"/>
      <c r="BL60" s="880"/>
      <c r="BM60" s="880"/>
      <c r="BN60" s="880"/>
      <c r="BO60" s="1100"/>
      <c r="BP60" s="1100"/>
      <c r="BQ60" s="1100"/>
      <c r="BR60" s="1100"/>
      <c r="BS60" s="828"/>
    </row>
    <row r="61" spans="1:71" ht="15">
      <c r="A61" s="168" t="s">
        <v>266</v>
      </c>
      <c r="B61" s="169"/>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456"/>
      <c r="BI61" s="169"/>
      <c r="BJ61" s="169"/>
      <c r="BK61" s="169"/>
      <c r="BL61" s="169"/>
      <c r="BM61" s="169"/>
      <c r="BN61" s="169"/>
      <c r="BO61" s="169"/>
      <c r="BP61" s="169"/>
      <c r="BQ61" s="169"/>
      <c r="BR61" s="169"/>
      <c r="BS61" s="181"/>
    </row>
    <row r="62" spans="1:71" s="67" customFormat="1" ht="15">
      <c r="A62" s="258" t="str">
        <f>INDEX(MO_RIS_NI_NONGAAP_Diluted,0,COLUMN())</f>
        <v>Adjusted Net Income</v>
      </c>
      <c r="B62" s="265"/>
      <c r="C62" s="1096">
        <f t="shared" si="110" ref="C62:AZ62">INDEX(MO_RIS_NI_NONGAAP_Diluted,0,COLUMN())</f>
        <v>1881</v>
      </c>
      <c r="D62" s="1096">
        <f t="shared" si="110"/>
        <v>1539</v>
      </c>
      <c r="E62" s="1096">
        <f t="shared" si="110"/>
        <v>662</v>
      </c>
      <c r="F62" s="1096">
        <f t="shared" si="110"/>
        <v>2148</v>
      </c>
      <c r="G62" s="1096">
        <f t="shared" si="110"/>
        <v>2670</v>
      </c>
      <c r="H62" s="175">
        <f t="shared" si="110"/>
        <v>588</v>
      </c>
      <c r="I62" s="175">
        <f t="shared" si="110"/>
        <v>445</v>
      </c>
      <c r="J62" s="175">
        <f t="shared" si="110"/>
        <v>598</v>
      </c>
      <c r="K62" s="175">
        <f t="shared" si="110"/>
        <v>736</v>
      </c>
      <c r="L62" s="1096">
        <f t="shared" si="110"/>
        <v>2367</v>
      </c>
      <c r="M62" s="175">
        <f t="shared" si="110"/>
        <v>616</v>
      </c>
      <c r="N62" s="175">
        <f t="shared" si="110"/>
        <v>262</v>
      </c>
      <c r="O62" s="175">
        <f t="shared" si="110"/>
        <v>610</v>
      </c>
      <c r="P62" s="175">
        <f t="shared" si="110"/>
        <v>625</v>
      </c>
      <c r="Q62" s="1096">
        <f t="shared" si="110"/>
        <v>2113</v>
      </c>
      <c r="R62" s="175">
        <f t="shared" si="110"/>
        <v>322</v>
      </c>
      <c r="S62" s="175">
        <f t="shared" si="110"/>
        <v>235</v>
      </c>
      <c r="T62" s="175">
        <f t="shared" si="110"/>
        <v>474</v>
      </c>
      <c r="U62" s="175">
        <f t="shared" si="110"/>
        <v>807</v>
      </c>
      <c r="V62" s="1096">
        <f t="shared" si="110"/>
        <v>1838</v>
      </c>
      <c r="W62" s="175">
        <f t="shared" si="110"/>
        <v>608</v>
      </c>
      <c r="X62" s="175">
        <f t="shared" si="110"/>
        <v>510</v>
      </c>
      <c r="Y62" s="175">
        <f t="shared" si="110"/>
        <v>587</v>
      </c>
      <c r="Z62" s="175">
        <f t="shared" si="110"/>
        <v>762</v>
      </c>
      <c r="AA62" s="1096">
        <f t="shared" si="110"/>
        <v>2467</v>
      </c>
      <c r="AB62" s="175">
        <f t="shared" si="110"/>
        <v>1066</v>
      </c>
      <c r="AC62" s="175">
        <f t="shared" si="110"/>
        <v>675</v>
      </c>
      <c r="AD62" s="175">
        <f t="shared" si="110"/>
        <v>680</v>
      </c>
      <c r="AE62" s="175">
        <f t="shared" si="110"/>
        <v>430</v>
      </c>
      <c r="AF62" s="1096">
        <f t="shared" si="110"/>
        <v>2851</v>
      </c>
      <c r="AG62" s="175">
        <f t="shared" si="110"/>
        <v>776</v>
      </c>
      <c r="AH62" s="175">
        <f t="shared" si="110"/>
        <v>735</v>
      </c>
      <c r="AI62" s="175">
        <f t="shared" si="110"/>
        <v>946</v>
      </c>
      <c r="AJ62" s="175">
        <f t="shared" si="110"/>
        <v>1020</v>
      </c>
      <c r="AK62" s="1096">
        <f t="shared" si="110"/>
        <v>3477</v>
      </c>
      <c r="AL62" s="175">
        <f>INDEX(MO_RIS_NI_NONGAAP_Diluted,0,COLUMN())</f>
        <v>1202</v>
      </c>
      <c r="AM62" s="175">
        <f>INDEX(MO_RIS_NI_NONGAAP_Diluted,0,COLUMN())</f>
        <v>816</v>
      </c>
      <c r="AN62" s="175">
        <f>INDEX(MO_RIS_NI_NONGAAP_Diluted,0,COLUMN())</f>
        <v>900</v>
      </c>
      <c r="AO62" s="175">
        <f t="shared" si="110"/>
        <v>1594</v>
      </c>
      <c r="AP62" s="1096">
        <f t="shared" si="110"/>
        <v>4512</v>
      </c>
      <c r="AQ62" s="175">
        <f>INDEX(MO_RIS_NI_NONGAAP_Diluted,0,COLUMN())</f>
        <v>1871</v>
      </c>
      <c r="AR62" s="175">
        <f>INDEX(MO_RIS_NI_NONGAAP_Diluted,0,COLUMN())</f>
        <v>1149</v>
      </c>
      <c r="AS62" s="175">
        <f>INDEX(MO_RIS_NI_NONGAAP_Diluted,0,COLUMN())</f>
        <v>217</v>
      </c>
      <c r="AT62" s="175">
        <f t="shared" si="110"/>
        <v>796</v>
      </c>
      <c r="AU62" s="1096">
        <f t="shared" si="110"/>
        <v>4033</v>
      </c>
      <c r="AV62" s="175">
        <f>INDEX(MO_RIS_NI_NONGAAP_Diluted,0,COLUMN())</f>
        <v>730</v>
      </c>
      <c r="AW62" s="175">
        <f>INDEX(MO_RIS_NI_NONGAAP_Diluted,0,COLUMN())</f>
        <v>-207</v>
      </c>
      <c r="AX62" s="175">
        <f>INDEX(MO_RIS_NI_NONGAAP_Diluted,0,COLUMN())</f>
        <v>-411</v>
      </c>
      <c r="AY62" s="175">
        <f t="shared" si="110"/>
        <v>-351</v>
      </c>
      <c r="AZ62" s="1096">
        <f t="shared" si="110"/>
        <v>-239</v>
      </c>
      <c r="BA62" s="175">
        <f>INDEX(MO_RIS_NI_NONGAAP_Diluted,0,COLUMN())</f>
        <v>-342</v>
      </c>
      <c r="BB62" s="175">
        <f>INDEX(MO_RIS_NI_NONGAAP_Diluted,0,COLUMN())</f>
        <v>-1162</v>
      </c>
      <c r="BC62" s="175">
        <f>INDEX(MO_RIS_NI_NONGAAP_Diluted,0,COLUMN())</f>
        <v>214</v>
      </c>
      <c r="BD62" s="175">
        <f>INDEX(MO_RIS_NI_NONGAAP_Diluted,0,COLUMN())</f>
        <v>1541</v>
      </c>
      <c r="BE62" s="1096">
        <f>INDEX(MO_RIS_NI_NONGAAP_Diluted,0,COLUMN())</f>
        <v>251</v>
      </c>
      <c r="BF62" s="175">
        <f t="shared" si="111" ref="BF62:BJ62">INDEX(MO_RIS_NI_NONGAAP_Diluted,0,COLUMN())</f>
        <v>1367</v>
      </c>
      <c r="BG62" s="175">
        <f t="shared" si="111"/>
        <v>429</v>
      </c>
      <c r="BH62" s="778">
        <f>INDEX(MO_RIS_NI_NONGAAP_Diluted,0,COLUMN())</f>
        <v>1048</v>
      </c>
      <c r="BI62" s="175">
        <f t="shared" si="111"/>
        <v>1294.653136004099</v>
      </c>
      <c r="BJ62" s="1096">
        <f t="shared" si="111"/>
        <v>4138.653136004099</v>
      </c>
      <c r="BK62" s="175">
        <f t="shared" si="112" ref="BK62:BR62">INDEX(MO_RIS_NI_NONGAAP_Diluted,0,COLUMN())</f>
        <v>1411.6043861260277</v>
      </c>
      <c r="BL62" s="175">
        <f t="shared" si="112"/>
        <v>821.68568412054731</v>
      </c>
      <c r="BM62" s="175">
        <f t="shared" si="112"/>
        <v>1173.1151435068505</v>
      </c>
      <c r="BN62" s="175">
        <f t="shared" si="112"/>
        <v>1632.8029141044406</v>
      </c>
      <c r="BO62" s="1096">
        <f t="shared" si="112"/>
        <v>5039.2081278578644</v>
      </c>
      <c r="BP62" s="1096">
        <f t="shared" si="112"/>
        <v>5409.3146056623655</v>
      </c>
      <c r="BQ62" s="1096">
        <f t="shared" si="112"/>
        <v>5544.5114582053411</v>
      </c>
      <c r="BR62" s="1096">
        <f t="shared" si="112"/>
        <v>5700.331765037784</v>
      </c>
      <c r="BS62" s="827"/>
    </row>
    <row r="63" spans="1:71" s="71" customFormat="1" ht="15">
      <c r="A63" s="278" t="str">
        <f>INDEX(MO_RIS_EPS_WAD_Adj,0,COLUMN())</f>
        <v>Adjusted Earnings Per Share - WAD</v>
      </c>
      <c r="B63" s="279"/>
      <c r="C63" s="1092">
        <f t="shared" si="113" ref="C63:AZ63">INDEX(MO_RIS_EPS_WAD_Adj,0,COLUMN())</f>
        <v>3.4775374376039934</v>
      </c>
      <c r="D63" s="1092">
        <f t="shared" si="113"/>
        <v>2.8368663594470047</v>
      </c>
      <c r="E63" s="1092">
        <f t="shared" si="113"/>
        <v>1.2655324029822212</v>
      </c>
      <c r="F63" s="1092">
        <f t="shared" si="113"/>
        <v>4.3569979716024339</v>
      </c>
      <c r="G63" s="1092">
        <f t="shared" si="113"/>
        <v>5.6772273017223052</v>
      </c>
      <c r="H63" s="337">
        <f t="shared" si="113"/>
        <v>1.2985865724381624</v>
      </c>
      <c r="I63" s="337">
        <f t="shared" si="113"/>
        <v>1.0097572044474699</v>
      </c>
      <c r="J63" s="337">
        <f t="shared" si="113"/>
        <v>1.3868274582560298</v>
      </c>
      <c r="K63" s="337">
        <f t="shared" si="113"/>
        <v>1.7208323591302315</v>
      </c>
      <c r="L63" s="1092">
        <f t="shared" si="113"/>
        <v>5.4016430853491562</v>
      </c>
      <c r="M63" s="337">
        <f t="shared" si="113"/>
        <v>1.4576431613819214</v>
      </c>
      <c r="N63" s="337">
        <f t="shared" si="113"/>
        <v>0.63499757634512843</v>
      </c>
      <c r="O63" s="337">
        <f t="shared" si="113"/>
        <v>1.5170355632927133</v>
      </c>
      <c r="P63" s="337">
        <f t="shared" si="113"/>
        <v>1.6017426960533061</v>
      </c>
      <c r="Q63" s="1092">
        <f t="shared" si="113"/>
        <v>5.1941986234021629</v>
      </c>
      <c r="R63" s="337">
        <f t="shared" si="113"/>
        <v>0.84095063985374774</v>
      </c>
      <c r="S63" s="337">
        <f t="shared" si="113"/>
        <v>0.62152869611213957</v>
      </c>
      <c r="T63" s="337">
        <f t="shared" si="113"/>
        <v>1.2609736632083002</v>
      </c>
      <c r="U63" s="337">
        <f t="shared" si="113"/>
        <v>2.1664429530201343</v>
      </c>
      <c r="V63" s="1092">
        <f t="shared" si="113"/>
        <v>4.8714550755367076</v>
      </c>
      <c r="W63" s="337">
        <f t="shared" si="113"/>
        <v>1.6374899003501211</v>
      </c>
      <c r="X63" s="337">
        <f t="shared" si="113"/>
        <v>1.3821138211382114</v>
      </c>
      <c r="Y63" s="337">
        <f t="shared" si="113"/>
        <v>1.5990193407790791</v>
      </c>
      <c r="Z63" s="337">
        <f t="shared" si="113"/>
        <v>2.0945574491478833</v>
      </c>
      <c r="AA63" s="1092">
        <f t="shared" si="113"/>
        <v>6.7074497009244149</v>
      </c>
      <c r="AB63" s="337">
        <f t="shared" si="113"/>
        <v>2.961933870519589</v>
      </c>
      <c r="AC63" s="337">
        <f t="shared" si="113"/>
        <v>1.9035532994923856</v>
      </c>
      <c r="AD63" s="337">
        <f t="shared" si="113"/>
        <v>1.9334660221779927</v>
      </c>
      <c r="AE63" s="337">
        <f t="shared" si="113"/>
        <v>1.2388360702967445</v>
      </c>
      <c r="AF63" s="1092">
        <f t="shared" si="113"/>
        <v>8.0719139297848255</v>
      </c>
      <c r="AG63" s="337">
        <f t="shared" si="113"/>
        <v>2.2992592592592591</v>
      </c>
      <c r="AH63" s="337">
        <f t="shared" si="113"/>
        <v>2.1816562778272486</v>
      </c>
      <c r="AI63" s="337">
        <f t="shared" si="113"/>
        <v>2.840840840840841</v>
      </c>
      <c r="AJ63" s="337">
        <f t="shared" si="113"/>
        <v>3.1259577076310143</v>
      </c>
      <c r="AK63" s="1092">
        <f t="shared" si="113"/>
        <v>10.425787106446776</v>
      </c>
      <c r="AL63" s="337">
        <f>INDEX(MO_RIS_EPS_WAD_Adj,0,COLUMN())</f>
        <v>3.7282878411910674</v>
      </c>
      <c r="AM63" s="337">
        <f>INDEX(MO_RIS_EPS_WAD_Adj,0,COLUMN())</f>
        <v>2.5741324921135647</v>
      </c>
      <c r="AN63" s="337">
        <f>INDEX(MO_RIS_EPS_WAD_Adj,0,COLUMN())</f>
        <v>2.8653295128939824</v>
      </c>
      <c r="AO63" s="337">
        <f t="shared" si="113"/>
        <v>5.1820546163849155</v>
      </c>
      <c r="AP63" s="1092">
        <f t="shared" si="113"/>
        <v>14.301109350237718</v>
      </c>
      <c r="AQ63" s="337">
        <f>INDEX(MO_RIS_EPS_WAD_Adj,0,COLUMN())</f>
        <v>6.1063968668407318</v>
      </c>
      <c r="AR63" s="337">
        <f>INDEX(MO_RIS_EPS_WAD_Adj,0,COLUMN())</f>
        <v>3.7883283877349156</v>
      </c>
      <c r="AS63" s="337">
        <f>INDEX(MO_RIS_EPS_WAD_Adj,0,COLUMN())</f>
        <v>0.72843235985229948</v>
      </c>
      <c r="AT63" s="337">
        <f t="shared" si="113"/>
        <v>2.7543252595155709</v>
      </c>
      <c r="AU63" s="1092">
        <f t="shared" si="113"/>
        <v>13.483784687395518</v>
      </c>
      <c r="AV63" s="337">
        <f>INDEX(MO_RIS_EPS_WAD_Adj,0,COLUMN())</f>
        <v>2.5904897090134846</v>
      </c>
      <c r="AW63" s="337">
        <f>INDEX(MO_RIS_EPS_WAD_Adj,0,COLUMN())</f>
        <v>-0.75602629656683706</v>
      </c>
      <c r="AX63" s="337">
        <f>INDEX(MO_RIS_EPS_WAD_Adj,0,COLUMN())</f>
        <v>-1.5295868998883513</v>
      </c>
      <c r="AY63" s="337">
        <f t="shared" si="113"/>
        <v>-1.327534039334342</v>
      </c>
      <c r="AZ63" s="1092">
        <f t="shared" si="113"/>
        <v>-0.88126843657817111</v>
      </c>
      <c r="BA63" s="337">
        <f>INDEX(MO_RIS_EPS_WAD_Adj,0,COLUMN())</f>
        <v>-1.2979127134724857</v>
      </c>
      <c r="BB63" s="337">
        <f>INDEX(MO_RIS_EPS_WAD_Adj,0,COLUMN())</f>
        <v>-4.4249809596344249</v>
      </c>
      <c r="BC63" s="337">
        <f>INDEX(MO_RIS_EPS_WAD_Adj,0,COLUMN())</f>
        <v>0.8127611090011394</v>
      </c>
      <c r="BD63" s="337">
        <f>INDEX(MO_RIS_EPS_WAD_Adj,0,COLUMN())</f>
        <v>5.8216849263316961</v>
      </c>
      <c r="BE63" s="1092">
        <f>INDEX(MO_RIS_EPS_WAD_Adj,0,COLUMN())</f>
        <v>0.94824329429542886</v>
      </c>
      <c r="BF63" s="337">
        <f t="shared" si="114" ref="BF63:BJ63">INDEX(MO_RIS_EPS_WAD_Adj,0,COLUMN())</f>
        <v>5.1294559099437151</v>
      </c>
      <c r="BG63" s="337">
        <f t="shared" si="114"/>
        <v>1.6061400224634967</v>
      </c>
      <c r="BH63" s="785">
        <f>INDEX(MO_RIS_EPS_WAD_Adj,0,COLUMN())</f>
        <v>3.91044776119403</v>
      </c>
      <c r="BI63" s="337">
        <f t="shared" ca="1" si="114"/>
        <v>4.7748694118114203</v>
      </c>
      <c r="BJ63" s="1092">
        <f t="shared" ca="1" si="114"/>
        <v>15.342604083070484</v>
      </c>
      <c r="BK63" s="337">
        <f ca="1" t="shared" si="115" ref="BK63:BR63">INDEX(MO_RIS_EPS_WAD_Adj,0,COLUMN())</f>
        <v>5.2028836967962659</v>
      </c>
      <c r="BL63" s="337">
        <f t="shared" ca="1" si="115"/>
        <v>3.0285645835475599</v>
      </c>
      <c r="BM63" s="337">
        <f t="shared" ca="1" si="115"/>
        <v>4.3238613556359962</v>
      </c>
      <c r="BN63" s="337">
        <f t="shared" ca="1" si="115"/>
        <v>6.0181760168581473</v>
      </c>
      <c r="BO63" s="1092">
        <f t="shared" ca="1" si="115"/>
        <v>18.573485652837963</v>
      </c>
      <c r="BP63" s="1092">
        <f t="shared" ca="1" si="115"/>
        <v>19.937622076876963</v>
      </c>
      <c r="BQ63" s="1092">
        <f t="shared" ca="1" si="115"/>
        <v>20.435929893760733</v>
      </c>
      <c r="BR63" s="1092">
        <f t="shared" ca="1" si="115"/>
        <v>21.010251525243628</v>
      </c>
      <c r="BS63" s="337"/>
    </row>
    <row r="64" spans="1:71" ht="15">
      <c r="A64" s="181"/>
      <c r="B64" s="280"/>
      <c r="C64" s="1105"/>
      <c r="D64" s="1105"/>
      <c r="E64" s="1105"/>
      <c r="F64" s="1105"/>
      <c r="G64" s="1105"/>
      <c r="H64" s="187"/>
      <c r="I64" s="187"/>
      <c r="J64" s="187"/>
      <c r="K64" s="187"/>
      <c r="L64" s="1105"/>
      <c r="M64" s="187"/>
      <c r="N64" s="187"/>
      <c r="O64" s="187"/>
      <c r="P64" s="187"/>
      <c r="Q64" s="1105"/>
      <c r="R64" s="187"/>
      <c r="S64" s="187"/>
      <c r="T64" s="187"/>
      <c r="U64" s="187"/>
      <c r="V64" s="1105"/>
      <c r="W64" s="187"/>
      <c r="X64" s="187"/>
      <c r="Y64" s="187"/>
      <c r="Z64" s="187"/>
      <c r="AA64" s="1105"/>
      <c r="AB64" s="187"/>
      <c r="AC64" s="187"/>
      <c r="AD64" s="187"/>
      <c r="AE64" s="187"/>
      <c r="AF64" s="1105"/>
      <c r="AG64" s="187"/>
      <c r="AH64" s="187"/>
      <c r="AI64" s="187"/>
      <c r="AJ64" s="187"/>
      <c r="AK64" s="1105"/>
      <c r="AL64" s="187"/>
      <c r="AM64" s="187"/>
      <c r="AN64" s="187"/>
      <c r="AO64" s="188"/>
      <c r="AP64" s="1101"/>
      <c r="AQ64" s="187"/>
      <c r="AR64" s="187"/>
      <c r="AS64" s="187"/>
      <c r="AT64" s="188"/>
      <c r="AU64" s="1101"/>
      <c r="AV64" s="187"/>
      <c r="AW64" s="187"/>
      <c r="AX64" s="187"/>
      <c r="AY64" s="188"/>
      <c r="AZ64" s="1101"/>
      <c r="BA64" s="187"/>
      <c r="BB64" s="187"/>
      <c r="BC64" s="187"/>
      <c r="BD64" s="188"/>
      <c r="BE64" s="1101"/>
      <c r="BF64" s="187"/>
      <c r="BG64" s="187"/>
      <c r="BH64" s="786"/>
      <c r="BI64" s="188"/>
      <c r="BJ64" s="1101"/>
      <c r="BK64" s="187"/>
      <c r="BL64" s="187"/>
      <c r="BM64" s="187"/>
      <c r="BN64" s="188"/>
      <c r="BO64" s="1101"/>
      <c r="BP64" s="1101"/>
      <c r="BQ64" s="1101"/>
      <c r="BR64" s="1101"/>
      <c r="BS64" s="181"/>
    </row>
    <row r="65" spans="1:71" ht="15" customHeight="1">
      <c r="A65" s="170" t="s">
        <v>93</v>
      </c>
      <c r="B65" s="826"/>
      <c r="C65" s="874"/>
      <c r="D65" s="874"/>
      <c r="E65" s="874"/>
      <c r="F65" s="874"/>
      <c r="G65" s="874"/>
      <c r="H65" s="874"/>
      <c r="I65" s="874"/>
      <c r="J65" s="874"/>
      <c r="K65" s="874"/>
      <c r="L65" s="874"/>
      <c r="M65" s="874"/>
      <c r="N65" s="874"/>
      <c r="O65" s="874"/>
      <c r="P65" s="874"/>
      <c r="Q65" s="874"/>
      <c r="R65" s="874"/>
      <c r="S65" s="874"/>
      <c r="T65" s="874"/>
      <c r="U65" s="874"/>
      <c r="V65" s="874"/>
      <c r="W65" s="874"/>
      <c r="X65" s="874"/>
      <c r="Y65" s="874"/>
      <c r="Z65" s="874"/>
      <c r="AA65" s="874"/>
      <c r="AB65" s="874"/>
      <c r="AC65" s="874"/>
      <c r="AD65" s="874"/>
      <c r="AE65" s="874"/>
      <c r="AF65" s="874"/>
      <c r="AG65" s="874"/>
      <c r="AH65" s="874"/>
      <c r="AI65" s="874"/>
      <c r="AJ65" s="874"/>
      <c r="AK65" s="874"/>
      <c r="AL65" s="874"/>
      <c r="AM65" s="874"/>
      <c r="AN65" s="874"/>
      <c r="AO65" s="874"/>
      <c r="AP65" s="874"/>
      <c r="AQ65" s="874"/>
      <c r="AR65" s="874"/>
      <c r="AS65" s="874"/>
      <c r="AT65" s="874"/>
      <c r="AU65" s="874"/>
      <c r="AV65" s="874"/>
      <c r="AW65" s="874"/>
      <c r="AX65" s="874"/>
      <c r="AY65" s="874"/>
      <c r="AZ65" s="874"/>
      <c r="BA65" s="874"/>
      <c r="BB65" s="874"/>
      <c r="BC65" s="874"/>
      <c r="BD65" s="874"/>
      <c r="BE65" s="874"/>
      <c r="BF65" s="874"/>
      <c r="BG65" s="874"/>
      <c r="BH65" s="875"/>
      <c r="BI65" s="874"/>
      <c r="BJ65" s="874"/>
      <c r="BK65" s="874"/>
      <c r="BL65" s="874"/>
      <c r="BM65" s="874"/>
      <c r="BN65" s="874"/>
      <c r="BO65" s="874"/>
      <c r="BP65" s="874"/>
      <c r="BQ65" s="874"/>
      <c r="BR65" s="874"/>
      <c r="BS65" s="828"/>
    </row>
    <row r="66" spans="1:71" s="71" customFormat="1" ht="15">
      <c r="A66" s="281" t="str">
        <f>INDEX(MO_DS_DPS,0,COLUMN())</f>
        <v>Dividend Per Common Share</v>
      </c>
      <c r="B66" s="278"/>
      <c r="C66" s="1106">
        <f t="shared" si="116" ref="C66:AZ66">INDEX(MO_DS_DPS,0,COLUMN())</f>
        <v>1.01</v>
      </c>
      <c r="D66" s="1106">
        <f t="shared" si="116"/>
        <v>0.80</v>
      </c>
      <c r="E66" s="1106">
        <f t="shared" si="116"/>
        <v>0.83</v>
      </c>
      <c r="F66" s="1106">
        <f t="shared" si="116"/>
        <v>1.0900000000000001</v>
      </c>
      <c r="G66" s="1106">
        <f t="shared" si="116"/>
        <v>0.75</v>
      </c>
      <c r="H66" s="339">
        <f t="shared" si="116"/>
        <v>0.25</v>
      </c>
      <c r="I66" s="339">
        <f t="shared" si="116"/>
        <v>0.28000000000000003</v>
      </c>
      <c r="J66" s="339">
        <f t="shared" si="116"/>
        <v>0.28000000000000003</v>
      </c>
      <c r="K66" s="339">
        <f t="shared" si="116"/>
        <v>0.28000000000000003</v>
      </c>
      <c r="L66" s="1106">
        <f t="shared" si="116"/>
        <v>1.0900000000000001</v>
      </c>
      <c r="M66" s="339">
        <f t="shared" si="116"/>
        <v>0.28000000000000003</v>
      </c>
      <c r="N66" s="339">
        <f t="shared" si="116"/>
        <v>0.30</v>
      </c>
      <c r="O66" s="339">
        <f t="shared" si="116"/>
        <v>0.30</v>
      </c>
      <c r="P66" s="339">
        <f t="shared" si="116"/>
        <v>0.30</v>
      </c>
      <c r="Q66" s="1106">
        <f t="shared" si="116"/>
        <v>1.1800000000000002</v>
      </c>
      <c r="R66" s="339">
        <f t="shared" si="116"/>
        <v>0.30</v>
      </c>
      <c r="S66" s="339">
        <f t="shared" si="116"/>
        <v>0.33</v>
      </c>
      <c r="T66" s="339">
        <f t="shared" si="116"/>
        <v>0.33</v>
      </c>
      <c r="U66" s="339">
        <f t="shared" si="116"/>
        <v>0.33</v>
      </c>
      <c r="V66" s="1106">
        <f t="shared" si="116"/>
        <v>1.29</v>
      </c>
      <c r="W66" s="339">
        <f t="shared" si="116"/>
        <v>0.33</v>
      </c>
      <c r="X66" s="339">
        <f t="shared" si="116"/>
        <v>0.37</v>
      </c>
      <c r="Y66" s="339">
        <f t="shared" si="116"/>
        <v>0.37</v>
      </c>
      <c r="Z66" s="339">
        <f t="shared" si="116"/>
        <v>0.37</v>
      </c>
      <c r="AA66" s="1106">
        <f t="shared" si="116"/>
        <v>1.44</v>
      </c>
      <c r="AB66" s="339">
        <f t="shared" si="116"/>
        <v>0.37</v>
      </c>
      <c r="AC66" s="339">
        <f t="shared" si="116"/>
        <v>0.46</v>
      </c>
      <c r="AD66" s="339">
        <f t="shared" si="116"/>
        <v>0.46</v>
      </c>
      <c r="AE66" s="339">
        <f t="shared" si="116"/>
        <v>0.46</v>
      </c>
      <c r="AF66" s="1106">
        <f t="shared" si="116"/>
        <v>1.75</v>
      </c>
      <c r="AG66" s="339">
        <f t="shared" si="116"/>
        <v>0.46</v>
      </c>
      <c r="AH66" s="339">
        <f t="shared" si="116"/>
        <v>0.50</v>
      </c>
      <c r="AI66" s="339">
        <f t="shared" si="116"/>
        <v>0.50</v>
      </c>
      <c r="AJ66" s="339">
        <f t="shared" si="116"/>
        <v>0.50</v>
      </c>
      <c r="AK66" s="1106">
        <f t="shared" si="116"/>
        <v>1.96</v>
      </c>
      <c r="AL66" s="339">
        <f>INDEX(MO_DS_DPS,0,COLUMN())</f>
        <v>0.50</v>
      </c>
      <c r="AM66" s="339">
        <f>INDEX(MO_DS_DPS,0,COLUMN())</f>
        <v>0.54000000000000004</v>
      </c>
      <c r="AN66" s="339">
        <f>INDEX(MO_DS_DPS,0,COLUMN())</f>
        <v>0.54000000000000004</v>
      </c>
      <c r="AO66" s="339">
        <f t="shared" si="116"/>
        <v>0.54000000000000004</v>
      </c>
      <c r="AP66" s="1092">
        <f t="shared" si="116"/>
        <v>2.12</v>
      </c>
      <c r="AQ66" s="339">
        <f>INDEX(MO_DS_DPS,0,COLUMN())</f>
        <v>0.54000000000000004</v>
      </c>
      <c r="AR66" s="339">
        <f>INDEX(MO_DS_DPS,0,COLUMN())</f>
        <v>0.81</v>
      </c>
      <c r="AS66" s="339">
        <f>INDEX(MO_DS_DPS,0,COLUMN())</f>
        <v>0.81</v>
      </c>
      <c r="AT66" s="339">
        <f t="shared" si="116"/>
        <v>0.81</v>
      </c>
      <c r="AU66" s="1092">
        <f t="shared" si="116"/>
        <v>2.97</v>
      </c>
      <c r="AV66" s="339">
        <f>INDEX(MO_DS_DPS,0,COLUMN())</f>
        <v>0.85</v>
      </c>
      <c r="AW66" s="339">
        <f>INDEX(MO_DS_DPS,0,COLUMN())</f>
        <v>0.85</v>
      </c>
      <c r="AX66" s="339">
        <f>INDEX(MO_DS_DPS,0,COLUMN())</f>
        <v>0.85</v>
      </c>
      <c r="AY66" s="339">
        <f t="shared" si="116"/>
        <v>0.85</v>
      </c>
      <c r="AZ66" s="1092">
        <f t="shared" si="116"/>
        <v>3.40</v>
      </c>
      <c r="BA66" s="339">
        <f>INDEX(MO_DS_DPS,0,COLUMN())</f>
        <v>0.85</v>
      </c>
      <c r="BB66" s="339">
        <f>INDEX(MO_DS_DPS,0,COLUMN())</f>
        <v>0.89</v>
      </c>
      <c r="BC66" s="339">
        <f>INDEX(MO_DS_DPS,0,COLUMN())</f>
        <v>0.89</v>
      </c>
      <c r="BD66" s="339">
        <f>INDEX(MO_DS_DPS,0,COLUMN())</f>
        <v>0.89</v>
      </c>
      <c r="BE66" s="1092">
        <f>INDEX(MO_DS_DPS,0,COLUMN())</f>
        <v>3.52</v>
      </c>
      <c r="BF66" s="339">
        <f t="shared" si="117" ref="BF66:BJ66">INDEX(MO_DS_DPS,0,COLUMN())</f>
        <v>0.89</v>
      </c>
      <c r="BG66" s="339">
        <f t="shared" si="117"/>
        <v>0.92</v>
      </c>
      <c r="BH66" s="787">
        <f>INDEX(MO_DS_DPS,0,COLUMN())</f>
        <v>0.92</v>
      </c>
      <c r="BI66" s="339">
        <f t="shared" si="117"/>
        <v>0.92</v>
      </c>
      <c r="BJ66" s="1092">
        <f t="shared" si="117"/>
        <v>3.65</v>
      </c>
      <c r="BK66" s="339">
        <f t="shared" si="118" ref="BK66:BR66">INDEX(MO_DS_DPS,0,COLUMN())</f>
        <v>0.92</v>
      </c>
      <c r="BL66" s="339">
        <f t="shared" si="118"/>
        <v>0.92</v>
      </c>
      <c r="BM66" s="339">
        <f t="shared" si="118"/>
        <v>0.92</v>
      </c>
      <c r="BN66" s="339">
        <f t="shared" si="118"/>
        <v>0.92</v>
      </c>
      <c r="BO66" s="1092">
        <f t="shared" si="118"/>
        <v>3.68</v>
      </c>
      <c r="BP66" s="1092">
        <f t="shared" si="118"/>
        <v>3.68</v>
      </c>
      <c r="BQ66" s="1092">
        <f t="shared" si="118"/>
        <v>3.68</v>
      </c>
      <c r="BR66" s="1092">
        <f t="shared" si="118"/>
        <v>3.68</v>
      </c>
      <c r="BS66" s="337"/>
    </row>
    <row r="67" spans="1:71" ht="15" customHeight="1">
      <c r="A67" s="282" t="str">
        <f>INDEX(MO_DS_PayoutRatio,0,COLUMN())</f>
        <v>Payout Ratio</v>
      </c>
      <c r="B67" s="280"/>
      <c r="C67" s="1107">
        <f t="shared" si="119" ref="C67:AZ67">INDEX(MO_DS_PayoutRatio,0,COLUMN())</f>
        <v>0.63466042154566749</v>
      </c>
      <c r="D67" s="1107">
        <f t="shared" si="119"/>
        <v>0.46336206896551724</v>
      </c>
      <c r="E67" s="1107">
        <f t="shared" si="119"/>
        <v>0.55273189326556549</v>
      </c>
      <c r="F67" s="1107">
        <f t="shared" si="119"/>
        <v>0.23156981786643538</v>
      </c>
      <c r="G67" s="1107">
        <f t="shared" si="119"/>
        <v>0.15554573574900574</v>
      </c>
      <c r="H67" s="188">
        <f t="shared" si="119"/>
        <v>0.19250425894378195</v>
      </c>
      <c r="I67" s="188">
        <f t="shared" si="119"/>
        <v>0.20358306188925082</v>
      </c>
      <c r="J67" s="188">
        <f t="shared" si="119"/>
        <v>0.16266666666666665</v>
      </c>
      <c r="K67" s="188">
        <f t="shared" si="119"/>
        <v>0.14716981132075471</v>
      </c>
      <c r="L67" s="1107">
        <f t="shared" si="119"/>
        <v>0.17370721048798252</v>
      </c>
      <c r="M67" s="188">
        <f t="shared" si="119"/>
        <v>0.18209876543209877</v>
      </c>
      <c r="N67" s="188">
        <f t="shared" si="119"/>
        <v>0.3834355828220859</v>
      </c>
      <c r="O67" s="188">
        <f t="shared" si="119"/>
        <v>0.19645732689210951</v>
      </c>
      <c r="P67" s="188">
        <f t="shared" si="119"/>
        <v>0.2565217391304348</v>
      </c>
      <c r="Q67" s="1107">
        <f t="shared" si="119"/>
        <v>0.23503649635036497</v>
      </c>
      <c r="R67" s="188">
        <f t="shared" si="119"/>
        <v>0.52995391705069128</v>
      </c>
      <c r="S67" s="188">
        <f t="shared" si="119"/>
        <v>0.51652892561983466</v>
      </c>
      <c r="T67" s="188">
        <f t="shared" si="119"/>
        <v>0.25254582484725052</v>
      </c>
      <c r="U67" s="188">
        <f t="shared" si="119"/>
        <v>0.1504315659679408</v>
      </c>
      <c r="V67" s="1107">
        <f t="shared" si="119"/>
        <v>0.27597955706984667</v>
      </c>
      <c r="W67" s="188">
        <f t="shared" si="119"/>
        <v>0.18318318318318319</v>
      </c>
      <c r="X67" s="188">
        <f t="shared" si="119"/>
        <v>0.24545454545454545</v>
      </c>
      <c r="Y67" s="188">
        <f t="shared" si="119"/>
        <v>0.21036106750392464</v>
      </c>
      <c r="Z67" s="188">
        <f t="shared" si="119"/>
        <v>0.10983606557377049</v>
      </c>
      <c r="AA67" s="1107">
        <f t="shared" si="119"/>
        <v>0.17084282460136674</v>
      </c>
      <c r="AB67" s="188">
        <f t="shared" si="119"/>
        <v>0.13953488372093023</v>
      </c>
      <c r="AC67" s="188">
        <f t="shared" si="119"/>
        <v>0.25588697017268447</v>
      </c>
      <c r="AD67" s="188">
        <f t="shared" si="119"/>
        <v>0.19207683073229292</v>
      </c>
      <c r="AE67" s="188">
        <f t="shared" si="119"/>
        <v>-0.50961538461538458</v>
      </c>
      <c r="AF67" s="1107">
        <f t="shared" si="119"/>
        <v>0.29182509505703425</v>
      </c>
      <c r="AG67" s="188">
        <f t="shared" si="119"/>
        <v>0.12529738302934179</v>
      </c>
      <c r="AH67" s="188">
        <f t="shared" si="119"/>
        <v>0.20219244823386115</v>
      </c>
      <c r="AI67" s="188">
        <f t="shared" si="119"/>
        <v>0.18672665916760406</v>
      </c>
      <c r="AJ67" s="188">
        <f t="shared" si="119"/>
        <v>0.095489162272993561</v>
      </c>
      <c r="AK67" s="1107">
        <f t="shared" si="119"/>
        <v>0.13958956819153484</v>
      </c>
      <c r="AL67" s="188">
        <f>INDEX(MO_DS_PayoutRatio,0,COLUMN())</f>
        <v>0.30994152046783624</v>
      </c>
      <c r="AM67" s="188">
        <f>INDEX(MO_DS_PayoutRatio,0,COLUMN())</f>
        <v>0.14052287581699346</v>
      </c>
      <c r="AN67" s="188">
        <f>INDEX(MO_DS_PayoutRatio,0,COLUMN())</f>
        <v>0.15008880994671403</v>
      </c>
      <c r="AO67" s="188">
        <f t="shared" si="119"/>
        <v>0.064665127020785224</v>
      </c>
      <c r="AP67" s="1101">
        <f t="shared" si="119"/>
        <v>0.12232191906244277</v>
      </c>
      <c r="AQ67" s="188">
        <f>INDEX(MO_DS_PayoutRatio,0,COLUMN())</f>
        <v>-0.11647727272727272</v>
      </c>
      <c r="AR67" s="188">
        <f>INDEX(MO_DS_PayoutRatio,0,COLUMN())</f>
        <v>0.15360501567398119</v>
      </c>
      <c r="AS67" s="188">
        <f>INDEX(MO_DS_PayoutRatio,0,COLUMN())</f>
        <v>0.47440944881889763</v>
      </c>
      <c r="AT67" s="188">
        <f t="shared" si="119"/>
        <v>0.29746835443037972</v>
      </c>
      <c r="AU67" s="1101">
        <f t="shared" si="119"/>
        <v>0.59595959595959591</v>
      </c>
      <c r="AV67" s="188">
        <f>INDEX(MO_DS_PayoutRatio,0,COLUMN())</f>
        <v>0.36277602523659308</v>
      </c>
      <c r="AW67" s="188">
        <f>INDEX(MO_DS_PayoutRatio,0,COLUMN())</f>
        <v>-0.22692307692307692</v>
      </c>
      <c r="AX67" s="188">
        <f>INDEX(MO_DS_PayoutRatio,0,COLUMN())</f>
        <v>-0.33868613138686132</v>
      </c>
      <c r="AY67" s="188">
        <f t="shared" si="119"/>
        <v>-0.75247524752475248</v>
      </c>
      <c r="AZ67" s="1101">
        <f t="shared" si="119"/>
        <v>-0.66427546628407463</v>
      </c>
      <c r="BA67" s="188">
        <f>INDEX(MO_DS_PayoutRatio,0,COLUMN())</f>
        <v>-0.64739884393063585</v>
      </c>
      <c r="BB67" s="188">
        <f>INDEX(MO_DS_PayoutRatio,0,COLUMN())</f>
        <v>-0.16918646508279336</v>
      </c>
      <c r="BC67" s="188">
        <f>INDEX(MO_DS_PayoutRatio,0,COLUMN())</f>
        <v>-5.6829268292682924</v>
      </c>
      <c r="BD67" s="188">
        <f>INDEX(MO_DS_PayoutRatio,0,COLUMN())</f>
        <v>0.15958904109589042</v>
      </c>
      <c r="BE67" s="1101">
        <f>INDEX(MO_DS_PayoutRatio,0,COLUMN())</f>
        <v>-2.9272151898734178</v>
      </c>
      <c r="BF67" s="188">
        <f t="shared" si="120" ref="BF67:BJ67">INDEX(MO_DS_PayoutRatio,0,COLUMN())</f>
        <v>0.19596299411269974</v>
      </c>
      <c r="BG67" s="188">
        <f t="shared" si="120"/>
        <v>0.80730897009966773</v>
      </c>
      <c r="BH67" s="788">
        <f>INDEX(MO_DS_PayoutRatio,0,COLUMN())</f>
        <v>0.20930232558139536</v>
      </c>
      <c r="BI67" s="188">
        <f t="shared" ca="1" si="120"/>
        <v>0.18405872797298836</v>
      </c>
      <c r="BJ67" s="1101">
        <f t="shared" ca="1" si="120"/>
        <v>0.24199176640076941</v>
      </c>
      <c r="BK67" s="188">
        <f ca="1" t="shared" si="121" ref="BK67:BR67">INDEX(MO_DS_PayoutRatio,0,COLUMN())</f>
        <v>0.16892669439076927</v>
      </c>
      <c r="BL67" s="188">
        <f t="shared" ca="1" si="121"/>
        <v>0.28382887496824544</v>
      </c>
      <c r="BM67" s="188">
        <f t="shared" ca="1" si="121"/>
        <v>0.20198380344374245</v>
      </c>
      <c r="BN67" s="188">
        <f t="shared" ca="1" si="121"/>
        <v>0.1466636633739081</v>
      </c>
      <c r="BO67" s="1101">
        <f t="shared" ca="1" si="121"/>
        <v>0.18857081111598936</v>
      </c>
      <c r="BP67" s="1101">
        <f t="shared" ca="1" si="121"/>
        <v>0.17616144556061353</v>
      </c>
      <c r="BQ67" s="1101">
        <f t="shared" ca="1" si="121"/>
        <v>0.17200109512528924</v>
      </c>
      <c r="BR67" s="1101">
        <f t="shared" ca="1" si="121"/>
        <v>0.1674434072997916</v>
      </c>
      <c r="BS67" s="181"/>
    </row>
    <row r="68" spans="1:71" ht="15" customHeight="1">
      <c r="A68" s="181"/>
      <c r="B68" s="280"/>
      <c r="C68" s="1105"/>
      <c r="D68" s="1105"/>
      <c r="E68" s="1105"/>
      <c r="F68" s="1105"/>
      <c r="G68" s="1105"/>
      <c r="H68" s="187"/>
      <c r="I68" s="187"/>
      <c r="J68" s="187"/>
      <c r="K68" s="187"/>
      <c r="L68" s="1105"/>
      <c r="M68" s="187"/>
      <c r="N68" s="187"/>
      <c r="O68" s="187"/>
      <c r="P68" s="187"/>
      <c r="Q68" s="1105"/>
      <c r="R68" s="187"/>
      <c r="S68" s="187"/>
      <c r="T68" s="187"/>
      <c r="U68" s="187"/>
      <c r="V68" s="1105"/>
      <c r="W68" s="187"/>
      <c r="X68" s="187"/>
      <c r="Y68" s="187"/>
      <c r="Z68" s="187"/>
      <c r="AA68" s="1105"/>
      <c r="AB68" s="187"/>
      <c r="AC68" s="187"/>
      <c r="AD68" s="187"/>
      <c r="AE68" s="187"/>
      <c r="AF68" s="1105"/>
      <c r="AG68" s="187"/>
      <c r="AH68" s="187"/>
      <c r="AI68" s="187"/>
      <c r="AJ68" s="187"/>
      <c r="AK68" s="1105"/>
      <c r="AL68" s="187"/>
      <c r="AM68" s="187"/>
      <c r="AN68" s="187"/>
      <c r="AO68" s="188"/>
      <c r="AP68" s="1101"/>
      <c r="AQ68" s="187"/>
      <c r="AR68" s="187"/>
      <c r="AS68" s="187"/>
      <c r="AT68" s="188"/>
      <c r="AU68" s="1101"/>
      <c r="AV68" s="187"/>
      <c r="AW68" s="187"/>
      <c r="AX68" s="187"/>
      <c r="AY68" s="188"/>
      <c r="AZ68" s="1101"/>
      <c r="BA68" s="187"/>
      <c r="BB68" s="187"/>
      <c r="BC68" s="187"/>
      <c r="BD68" s="188"/>
      <c r="BE68" s="1101"/>
      <c r="BF68" s="187"/>
      <c r="BG68" s="187"/>
      <c r="BH68" s="786"/>
      <c r="BI68" s="188"/>
      <c r="BJ68" s="1101"/>
      <c r="BK68" s="187"/>
      <c r="BL68" s="187"/>
      <c r="BM68" s="187"/>
      <c r="BN68" s="188"/>
      <c r="BO68" s="1101"/>
      <c r="BP68" s="1101"/>
      <c r="BQ68" s="1101"/>
      <c r="BR68" s="1101"/>
      <c r="BS68" s="181"/>
    </row>
    <row r="69" spans="1:71" ht="15" customHeight="1">
      <c r="A69" s="170" t="s">
        <v>267</v>
      </c>
      <c r="B69" s="826"/>
      <c r="C69" s="874"/>
      <c r="D69" s="874"/>
      <c r="E69" s="874"/>
      <c r="F69" s="874"/>
      <c r="G69" s="874"/>
      <c r="H69" s="874"/>
      <c r="I69" s="874"/>
      <c r="J69" s="874"/>
      <c r="K69" s="874"/>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4"/>
      <c r="AM69" s="874"/>
      <c r="AN69" s="874"/>
      <c r="AO69" s="874"/>
      <c r="AP69" s="874"/>
      <c r="AQ69" s="874"/>
      <c r="AR69" s="874"/>
      <c r="AS69" s="874"/>
      <c r="AT69" s="874"/>
      <c r="AU69" s="874"/>
      <c r="AV69" s="874"/>
      <c r="AW69" s="874"/>
      <c r="AX69" s="874"/>
      <c r="AY69" s="874"/>
      <c r="AZ69" s="874"/>
      <c r="BA69" s="874"/>
      <c r="BB69" s="874"/>
      <c r="BC69" s="874"/>
      <c r="BD69" s="874"/>
      <c r="BE69" s="874"/>
      <c r="BF69" s="874"/>
      <c r="BG69" s="874"/>
      <c r="BH69" s="875"/>
      <c r="BI69" s="874"/>
      <c r="BJ69" s="874"/>
      <c r="BK69" s="874"/>
      <c r="BL69" s="874"/>
      <c r="BM69" s="874"/>
      <c r="BN69" s="874"/>
      <c r="BO69" s="874"/>
      <c r="BP69" s="874"/>
      <c r="BQ69" s="874"/>
      <c r="BR69" s="874"/>
      <c r="BS69" s="828"/>
    </row>
    <row r="70" spans="1:71" s="76" customFormat="1" ht="15" customHeight="1">
      <c r="A70" s="283" t="s">
        <v>107</v>
      </c>
      <c r="B70" s="284"/>
      <c r="C70" s="1108">
        <f t="shared" si="122" ref="C70:AZ70">INDEX(MO_BSS_ROA,0,COLUMN())</f>
        <v>0</v>
      </c>
      <c r="D70" s="1108">
        <f t="shared" si="122"/>
        <v>0.011696662005228916</v>
      </c>
      <c r="E70" s="1108">
        <f t="shared" si="122"/>
        <v>0.0051780846562088133</v>
      </c>
      <c r="F70" s="1108">
        <f t="shared" si="122"/>
        <v>0.01703815340683747</v>
      </c>
      <c r="G70" s="1108">
        <f t="shared" si="122"/>
        <v>0.021320173915126545</v>
      </c>
      <c r="H70" s="191">
        <f t="shared" si="122"/>
        <v>0.019245849995897409</v>
      </c>
      <c r="I70" s="191">
        <f t="shared" si="122"/>
        <v>0.01522138552890203</v>
      </c>
      <c r="J70" s="191">
        <f t="shared" si="122"/>
        <v>0.021711974302540002</v>
      </c>
      <c r="K70" s="191">
        <f t="shared" si="122"/>
        <v>0.02693863618541531</v>
      </c>
      <c r="L70" s="1108">
        <f t="shared" si="122"/>
        <v>0.020588588337830289</v>
      </c>
      <c r="M70" s="191">
        <f t="shared" si="122"/>
        <v>0.023073682568563493</v>
      </c>
      <c r="N70" s="191">
        <f t="shared" si="122"/>
        <v>0.0097673969437740392</v>
      </c>
      <c r="O70" s="191">
        <f t="shared" si="122"/>
        <v>0.02272765319959218</v>
      </c>
      <c r="P70" s="191">
        <f t="shared" si="122"/>
        <v>0.023558771195148726</v>
      </c>
      <c r="Q70" s="1108">
        <f t="shared" si="122"/>
        <v>0.019778532850336508</v>
      </c>
      <c r="R70" s="191">
        <f t="shared" si="122"/>
        <v>0.012298750949197525</v>
      </c>
      <c r="S70" s="191">
        <f t="shared" si="122"/>
        <v>0.0088651728422681052</v>
      </c>
      <c r="T70" s="191">
        <f t="shared" si="122"/>
        <v>0.01747462621500144</v>
      </c>
      <c r="U70" s="191">
        <f t="shared" si="122"/>
        <v>0.02956943012557512</v>
      </c>
      <c r="V70" s="1108">
        <f t="shared" si="122"/>
        <v>0.017176478504169829</v>
      </c>
      <c r="W70" s="191">
        <f t="shared" si="122"/>
        <v>0.022533643841096788</v>
      </c>
      <c r="X70" s="191">
        <f t="shared" si="122"/>
        <v>0.01850321467883926</v>
      </c>
      <c r="Y70" s="191">
        <f t="shared" si="122"/>
        <v>0.0207473480327325</v>
      </c>
      <c r="Z70" s="191">
        <f t="shared" si="122"/>
        <v>0.026747168144894969</v>
      </c>
      <c r="AA70" s="1108">
        <f t="shared" si="122"/>
        <v>0.022194353080040016</v>
      </c>
      <c r="AB70" s="191">
        <f t="shared" si="122"/>
        <v>0.038307589990937273</v>
      </c>
      <c r="AC70" s="191">
        <f t="shared" si="122"/>
        <v>0.023889892105441523</v>
      </c>
      <c r="AD70" s="191">
        <f t="shared" si="122"/>
        <v>0.023679785191337819</v>
      </c>
      <c r="AE70" s="191">
        <f t="shared" si="122"/>
        <v>0.01504794729507994</v>
      </c>
      <c r="AF70" s="1108">
        <f t="shared" si="122"/>
        <v>0.025193568968168264</v>
      </c>
      <c r="AG70" s="191">
        <f t="shared" si="122"/>
        <v>0.027596191834648884</v>
      </c>
      <c r="AH70" s="191">
        <f t="shared" si="122"/>
        <v>0.025174861004550853</v>
      </c>
      <c r="AI70" s="191">
        <f t="shared" si="122"/>
        <v>0.031348500285349523</v>
      </c>
      <c r="AJ70" s="191">
        <f t="shared" si="122"/>
        <v>0.033579692647048479</v>
      </c>
      <c r="AK70" s="1108">
        <f t="shared" si="122"/>
        <v>0.029592496765847347</v>
      </c>
      <c r="AL70" s="191">
        <f>INDEX(MO_BSS_ROA,0,COLUMN())</f>
        <v>0.040959747708541432</v>
      </c>
      <c r="AM70" s="191">
        <f>INDEX(MO_BSS_ROA,0,COLUMN())</f>
        <v>0.027652126113197929</v>
      </c>
      <c r="AN70" s="191">
        <f>INDEX(MO_BSS_ROA,0,COLUMN())</f>
        <v>0.029345901765529273</v>
      </c>
      <c r="AO70" s="191">
        <f t="shared" si="122"/>
        <v>0.050988375883659898</v>
      </c>
      <c r="AP70" s="1108">
        <f t="shared" si="122"/>
        <v>0.037224037224037221</v>
      </c>
      <c r="AQ70" s="191">
        <f>INDEX(MO_BSS_ROA,0,COLUMN())</f>
        <v>0.059327629179621769</v>
      </c>
      <c r="AR70" s="191">
        <f>INDEX(MO_BSS_ROA,0,COLUMN())</f>
        <v>0.035119498073006114</v>
      </c>
      <c r="AS70" s="191">
        <f>INDEX(MO_BSS_ROA,0,COLUMN())</f>
        <v>0.0064710929525259283</v>
      </c>
      <c r="AT70" s="191">
        <f t="shared" si="122"/>
        <v>0.027121637566651233</v>
      </c>
      <c r="AU70" s="1108">
        <f t="shared" si="122"/>
        <v>0.032455043367277142</v>
      </c>
      <c r="AV70" s="191">
        <f>INDEX(MO_BSS_ROA,0,COLUMN())</f>
        <v>0.030119085971367365</v>
      </c>
      <c r="AW70" s="191">
        <f>INDEX(MO_BSS_ROA,0,COLUMN())</f>
        <v>-0.0085816509072323029</v>
      </c>
      <c r="AX70" s="191">
        <f>INDEX(MO_BSS_ROA,0,COLUMN())</f>
        <v>-0.016808034243729772</v>
      </c>
      <c r="AY70" s="191">
        <f t="shared" si="122"/>
        <v>-0.01423639516672634</v>
      </c>
      <c r="AZ70" s="1108">
        <f t="shared" si="122"/>
        <v>-0.0024458985658233263</v>
      </c>
      <c r="BA70" s="191">
        <f>INDEX(MO_BSS_ROA,0,COLUMN())</f>
        <v>-0.014039314128388363</v>
      </c>
      <c r="BB70" s="191">
        <f>INDEX(MO_BSS_ROA,0,COLUMN())</f>
        <v>-0.046573926211189193</v>
      </c>
      <c r="BC70" s="191">
        <f>INDEX(MO_BSS_ROA,0,COLUMN())</f>
        <v>0.008419076197436013</v>
      </c>
      <c r="BD70" s="191">
        <f>INDEX(MO_BSS_ROA,0,COLUMN())</f>
        <v>0.059781067576685019</v>
      </c>
      <c r="BE70" s="1108">
        <f>INDEX(MO_BSS_ROA,0,COLUMN())</f>
        <v>0.0024968168072576793</v>
      </c>
      <c r="BF70" s="191">
        <f t="shared" si="123" ref="BF70:BJ70">INDEX(MO_BSS_ROA,0,COLUMN())</f>
        <v>0.052712990283399146</v>
      </c>
      <c r="BG70" s="191">
        <f t="shared" si="123"/>
        <v>0.0161550175454084</v>
      </c>
      <c r="BH70" s="789">
        <f>INDEX(MO_BSS_ROA,0,COLUMN())</f>
        <v>0.037541746165695063</v>
      </c>
      <c r="BI70" s="191">
        <f t="shared" ca="1" si="123"/>
        <v>0.045217302978206191</v>
      </c>
      <c r="BJ70" s="1108">
        <f t="shared" ca="1" si="123"/>
        <v>0.037984586055344341</v>
      </c>
      <c r="BK70" s="191">
        <f ca="1" t="shared" si="124" ref="BK70:BR70">INDEX(MO_BSS_ROA,0,COLUMN())</f>
        <v>0.049778456270524338</v>
      </c>
      <c r="BL70" s="191">
        <f t="shared" ca="1" si="124"/>
        <v>0.028255161103547054</v>
      </c>
      <c r="BM70" s="191">
        <f t="shared" ca="1" si="124"/>
        <v>0.039371154045361852</v>
      </c>
      <c r="BN70" s="191">
        <f t="shared" ca="1" si="124"/>
        <v>0.054257375619939686</v>
      </c>
      <c r="BO70" s="1108">
        <f t="shared" ca="1" si="124"/>
        <v>0.042986413971504663</v>
      </c>
      <c r="BP70" s="1108">
        <f t="shared" ca="1" si="124"/>
        <v>0.043853524250414076</v>
      </c>
      <c r="BQ70" s="1108">
        <f t="shared" ca="1" si="124"/>
        <v>0.042373948215346832</v>
      </c>
      <c r="BR70" s="1108">
        <f t="shared" ca="1" si="124"/>
        <v>0.041108862257181418</v>
      </c>
      <c r="BS70" s="310"/>
    </row>
    <row r="71" spans="1:71" s="76" customFormat="1" ht="15" customHeight="1">
      <c r="A71" s="283" t="s">
        <v>108</v>
      </c>
      <c r="B71" s="284"/>
      <c r="C71" s="1108">
        <f t="shared" si="125" ref="C71:AZ71">INDEX(MO_BSS_ROE,0,COLUMN())</f>
        <v>0</v>
      </c>
      <c r="D71" s="1108">
        <f t="shared" si="125"/>
        <v>0.08717324194964457</v>
      </c>
      <c r="E71" s="1108">
        <f t="shared" si="125"/>
        <v>0.035866179060002709</v>
      </c>
      <c r="F71" s="1108">
        <f t="shared" si="125"/>
        <v>0.11049951129173312</v>
      </c>
      <c r="G71" s="1108">
        <f t="shared" si="125"/>
        <v>0.12936046511627908</v>
      </c>
      <c r="H71" s="191">
        <f t="shared" si="125"/>
        <v>0.11548022598870056</v>
      </c>
      <c r="I71" s="191">
        <f t="shared" si="125"/>
        <v>0.085552897948047255</v>
      </c>
      <c r="J71" s="191">
        <f t="shared" si="125"/>
        <v>0.11376441535400034</v>
      </c>
      <c r="K71" s="191">
        <f t="shared" si="125"/>
        <v>0.14195085194817822</v>
      </c>
      <c r="L71" s="1108">
        <f t="shared" si="125"/>
        <v>0.11427385170952137</v>
      </c>
      <c r="M71" s="191">
        <f t="shared" si="125"/>
        <v>0.12189125526199518</v>
      </c>
      <c r="N71" s="191">
        <f t="shared" si="125"/>
        <v>0.052563667419238257</v>
      </c>
      <c r="O71" s="191">
        <f t="shared" si="125"/>
        <v>0.12634344534858649</v>
      </c>
      <c r="P71" s="191">
        <f t="shared" si="125"/>
        <v>0.13389959042132957</v>
      </c>
      <c r="Q71" s="1108">
        <f t="shared" si="125"/>
        <v>0.10827013732322197</v>
      </c>
      <c r="R71" s="191">
        <f t="shared" si="125"/>
        <v>0.070245270147637734</v>
      </c>
      <c r="S71" s="191">
        <f t="shared" si="125"/>
        <v>0.050542222676657582</v>
      </c>
      <c r="T71" s="191">
        <f t="shared" si="125"/>
        <v>0.099260200140750779</v>
      </c>
      <c r="U71" s="191">
        <f t="shared" si="125"/>
        <v>0.16890472296404738</v>
      </c>
      <c r="V71" s="1108">
        <f t="shared" si="125"/>
        <v>0.098084209402849676</v>
      </c>
      <c r="W71" s="191">
        <f t="shared" si="125"/>
        <v>0.12896664545504735</v>
      </c>
      <c r="X71" s="191">
        <f t="shared" si="125"/>
        <v>0.10445550568613352</v>
      </c>
      <c r="Y71" s="191">
        <f t="shared" si="125"/>
        <v>0.11607150596352542</v>
      </c>
      <c r="Z71" s="191">
        <f t="shared" si="125"/>
        <v>0.14683336606503683</v>
      </c>
      <c r="AA71" s="1108">
        <f t="shared" si="125"/>
        <v>0.12437986528455612</v>
      </c>
      <c r="AB71" s="191">
        <f t="shared" si="125"/>
        <v>0.20695671137280555</v>
      </c>
      <c r="AC71" s="191">
        <f t="shared" si="125"/>
        <v>0.12956320830845272</v>
      </c>
      <c r="AD71" s="191">
        <f t="shared" si="125"/>
        <v>0.12801376483221533</v>
      </c>
      <c r="AE71" s="191">
        <f t="shared" si="125"/>
        <v>0.08380714584739464</v>
      </c>
      <c r="AF71" s="1108">
        <f t="shared" si="125"/>
        <v>0.13798277030297165</v>
      </c>
      <c r="AG71" s="191">
        <f t="shared" si="125"/>
        <v>0.15400592665089849</v>
      </c>
      <c r="AH71" s="191">
        <f t="shared" si="125"/>
        <v>0.13390002829981026</v>
      </c>
      <c r="AI71" s="191">
        <f t="shared" si="125"/>
        <v>0.16448929192764358</v>
      </c>
      <c r="AJ71" s="191">
        <f t="shared" si="125"/>
        <v>0.1727972642057638</v>
      </c>
      <c r="AK71" s="1108">
        <f t="shared" si="125"/>
        <v>0.15768135396448202</v>
      </c>
      <c r="AL71" s="191">
        <f>INDEX(MO_BSS_ROE,0,COLUMN())</f>
        <v>0.210407049916984</v>
      </c>
      <c r="AM71" s="191">
        <f>INDEX(MO_BSS_ROE,0,COLUMN())</f>
        <v>0.13900904576268308</v>
      </c>
      <c r="AN71" s="191">
        <f>INDEX(MO_BSS_ROE,0,COLUMN())</f>
        <v>0.14233774404614266</v>
      </c>
      <c r="AO71" s="191">
        <f t="shared" si="125"/>
        <v>0.23688262331292328</v>
      </c>
      <c r="AP71" s="1108">
        <f t="shared" si="125"/>
        <v>0.18119172108040382</v>
      </c>
      <c r="AQ71" s="191">
        <f>INDEX(MO_BSS_ROE,0,COLUMN())</f>
        <v>0.28690050077300533</v>
      </c>
      <c r="AR71" s="191">
        <f>INDEX(MO_BSS_ROE,0,COLUMN())</f>
        <v>0.18185007195779401</v>
      </c>
      <c r="AS71" s="191">
        <f>INDEX(MO_BSS_ROE,0,COLUMN())</f>
        <v>0.033897311325438155</v>
      </c>
      <c r="AT71" s="191">
        <f t="shared" si="125"/>
        <v>0.13167292687878876</v>
      </c>
      <c r="AU71" s="1108">
        <f t="shared" si="125"/>
        <v>0.15890339713635038</v>
      </c>
      <c r="AV71" s="191">
        <f>INDEX(MO_BSS_ROE,0,COLUMN())</f>
        <v>0.13320535221054894</v>
      </c>
      <c r="AW71" s="191">
        <f>INDEX(MO_BSS_ROE,0,COLUMN())</f>
        <v>-0.042159835746552174</v>
      </c>
      <c r="AX71" s="191">
        <f>INDEX(MO_BSS_ROE,0,COLUMN())</f>
        <v>-0.096348252545908564</v>
      </c>
      <c r="AY71" s="191">
        <f t="shared" si="125"/>
        <v>-0.089243421419257049</v>
      </c>
      <c r="AZ71" s="1108">
        <f t="shared" si="125"/>
        <v>-0.012739328813270223</v>
      </c>
      <c r="BA71" s="191">
        <f>INDEX(MO_BSS_ROE,0,COLUMN())</f>
        <v>-0.089400238486577077</v>
      </c>
      <c r="BB71" s="191">
        <f>INDEX(MO_BSS_ROE,0,COLUMN())</f>
        <v>-0.32098961644416191</v>
      </c>
      <c r="BC71" s="191">
        <f>INDEX(MO_BSS_ROE,0,COLUMN())</f>
        <v>0.065039201710620095</v>
      </c>
      <c r="BD71" s="191">
        <f>INDEX(MO_BSS_ROE,0,COLUMN())</f>
        <v>0.43113783011882517</v>
      </c>
      <c r="BE71" s="1108">
        <f>INDEX(MO_BSS_ROE,0,COLUMN())</f>
        <v>0.01721394672592105</v>
      </c>
      <c r="BF71" s="191">
        <f t="shared" si="126" ref="BF71:BJ71">INDEX(MO_BSS_ROE,0,COLUMN())</f>
        <v>0.33931212121109366</v>
      </c>
      <c r="BG71" s="191">
        <f t="shared" si="126"/>
        <v>0.10384764197583939</v>
      </c>
      <c r="BH71" s="789">
        <f>INDEX(MO_BSS_ROE,0,COLUMN())</f>
        <v>0.23509740562221429</v>
      </c>
      <c r="BI71" s="191">
        <f t="shared" ca="1" si="126"/>
        <v>0.26519248086781338</v>
      </c>
      <c r="BJ71" s="1108">
        <f t="shared" ca="1" si="126"/>
        <v>0.23557305814235863</v>
      </c>
      <c r="BK71" s="191">
        <f ca="1" t="shared" si="127" ref="BK71:BR71">INDEX(MO_BSS_ROE,0,COLUMN())</f>
        <v>0.27827276592933298</v>
      </c>
      <c r="BL71" s="191">
        <f t="shared" ca="1" si="127"/>
        <v>0.15337128183716031</v>
      </c>
      <c r="BM71" s="191">
        <f t="shared" ca="1" si="127"/>
        <v>0.20884285759836169</v>
      </c>
      <c r="BN71" s="191">
        <f t="shared" ca="1" si="127"/>
        <v>0.27579803338623404</v>
      </c>
      <c r="BO71" s="1108">
        <f t="shared" ca="1" si="127"/>
        <v>0.22921930123739678</v>
      </c>
      <c r="BP71" s="1108">
        <f t="shared" ca="1" si="127"/>
        <v>0.20407422626648422</v>
      </c>
      <c r="BQ71" s="1108">
        <f t="shared" ca="1" si="127"/>
        <v>0.17782842882469516</v>
      </c>
      <c r="BR71" s="1108">
        <f t="shared" ca="1" si="127"/>
        <v>0.15835621864444221</v>
      </c>
      <c r="BS71" s="310"/>
    </row>
    <row r="72" spans="1:71" s="76" customFormat="1" ht="15" customHeight="1">
      <c r="A72" s="283" t="s">
        <v>109</v>
      </c>
      <c r="B72" s="284"/>
      <c r="C72" s="1108">
        <f t="shared" si="128" ref="C72:AZ72">INDEX(MO_BSS_ROTE,0,COLUMN())</f>
        <v>0</v>
      </c>
      <c r="D72" s="1108">
        <f t="shared" si="128"/>
        <v>0.08717324194964457</v>
      </c>
      <c r="E72" s="1108">
        <f t="shared" si="128"/>
        <v>0.035866179060002709</v>
      </c>
      <c r="F72" s="1108">
        <f t="shared" si="128"/>
        <v>0.11049951129173312</v>
      </c>
      <c r="G72" s="1108">
        <f t="shared" si="128"/>
        <v>0.12936046511627908</v>
      </c>
      <c r="H72" s="191">
        <f t="shared" si="128"/>
        <v>0.11548022598870056</v>
      </c>
      <c r="I72" s="191">
        <f t="shared" si="128"/>
        <v>0.085552897948047255</v>
      </c>
      <c r="J72" s="191">
        <f t="shared" si="128"/>
        <v>0.11376441535400034</v>
      </c>
      <c r="K72" s="191">
        <f t="shared" si="128"/>
        <v>0.14195085194817822</v>
      </c>
      <c r="L72" s="1108">
        <f t="shared" si="128"/>
        <v>0.11427385170952137</v>
      </c>
      <c r="M72" s="191">
        <f t="shared" si="128"/>
        <v>0.12189125526199518</v>
      </c>
      <c r="N72" s="191">
        <f t="shared" si="128"/>
        <v>0.052563667419238257</v>
      </c>
      <c r="O72" s="191">
        <f t="shared" si="128"/>
        <v>0.12634344534858649</v>
      </c>
      <c r="P72" s="191">
        <f t="shared" si="128"/>
        <v>0.13389959042132957</v>
      </c>
      <c r="Q72" s="1108">
        <f t="shared" si="128"/>
        <v>0.10827013732322197</v>
      </c>
      <c r="R72" s="191">
        <f t="shared" si="128"/>
        <v>0.070245270147637734</v>
      </c>
      <c r="S72" s="191">
        <f t="shared" si="128"/>
        <v>0.050542222676657582</v>
      </c>
      <c r="T72" s="191">
        <f t="shared" si="128"/>
        <v>0.099260200140750779</v>
      </c>
      <c r="U72" s="191">
        <f t="shared" si="128"/>
        <v>0.16890472296404738</v>
      </c>
      <c r="V72" s="1108">
        <f t="shared" si="128"/>
        <v>0.098084209402849676</v>
      </c>
      <c r="W72" s="191">
        <f t="shared" si="128"/>
        <v>0.12896664545504735</v>
      </c>
      <c r="X72" s="191">
        <f t="shared" si="128"/>
        <v>0.10445550568613352</v>
      </c>
      <c r="Y72" s="191">
        <f t="shared" si="128"/>
        <v>0.11607150596352542</v>
      </c>
      <c r="Z72" s="191">
        <f t="shared" si="128"/>
        <v>0.14683336606503683</v>
      </c>
      <c r="AA72" s="1108">
        <f t="shared" si="128"/>
        <v>0.12437986528455612</v>
      </c>
      <c r="AB72" s="191">
        <f t="shared" si="128"/>
        <v>0.20695671137280555</v>
      </c>
      <c r="AC72" s="191">
        <f t="shared" si="128"/>
        <v>0.12956320830845272</v>
      </c>
      <c r="AD72" s="191">
        <f t="shared" si="128"/>
        <v>0.12801376483221533</v>
      </c>
      <c r="AE72" s="191">
        <f t="shared" si="128"/>
        <v>0.08380714584739464</v>
      </c>
      <c r="AF72" s="1108">
        <f t="shared" si="128"/>
        <v>0.13798277030297165</v>
      </c>
      <c r="AG72" s="191">
        <f t="shared" si="128"/>
        <v>0.15400592665089849</v>
      </c>
      <c r="AH72" s="191">
        <f t="shared" si="128"/>
        <v>0.13390002829981026</v>
      </c>
      <c r="AI72" s="191">
        <f t="shared" si="128"/>
        <v>0.16448929192764358</v>
      </c>
      <c r="AJ72" s="191">
        <f t="shared" si="128"/>
        <v>0.1727972642057638</v>
      </c>
      <c r="AK72" s="1108">
        <f t="shared" si="128"/>
        <v>0.15768135396448202</v>
      </c>
      <c r="AL72" s="191">
        <f>INDEX(MO_BSS_ROTE,0,COLUMN())</f>
        <v>0.210407049916984</v>
      </c>
      <c r="AM72" s="191">
        <f>INDEX(MO_BSS_ROTE,0,COLUMN())</f>
        <v>0.13900904576268308</v>
      </c>
      <c r="AN72" s="191">
        <f>INDEX(MO_BSS_ROTE,0,COLUMN())</f>
        <v>0.14233774404614266</v>
      </c>
      <c r="AO72" s="191">
        <f t="shared" si="128"/>
        <v>0.23688262331292328</v>
      </c>
      <c r="AP72" s="1108">
        <f t="shared" si="128"/>
        <v>0.18119172108040382</v>
      </c>
      <c r="AQ72" s="191">
        <f>INDEX(MO_BSS_ROTE,0,COLUMN())</f>
        <v>0.28690050077300533</v>
      </c>
      <c r="AR72" s="191">
        <f>INDEX(MO_BSS_ROTE,0,COLUMN())</f>
        <v>0.18185007195779401</v>
      </c>
      <c r="AS72" s="191">
        <f>INDEX(MO_BSS_ROTE,0,COLUMN())</f>
        <v>0.033897311325438155</v>
      </c>
      <c r="AT72" s="191">
        <f t="shared" si="128"/>
        <v>0.13167292687878876</v>
      </c>
      <c r="AU72" s="1108">
        <f t="shared" si="128"/>
        <v>0.15890339713635038</v>
      </c>
      <c r="AV72" s="191">
        <f>INDEX(MO_BSS_ROTE,0,COLUMN())</f>
        <v>0.13320535221054894</v>
      </c>
      <c r="AW72" s="191">
        <f>INDEX(MO_BSS_ROTE,0,COLUMN())</f>
        <v>-0.042159835746552174</v>
      </c>
      <c r="AX72" s="191">
        <f>INDEX(MO_BSS_ROTE,0,COLUMN())</f>
        <v>-0.096348252545908564</v>
      </c>
      <c r="AY72" s="191">
        <f t="shared" si="128"/>
        <v>-0.089243421419257049</v>
      </c>
      <c r="AZ72" s="1108">
        <f t="shared" si="128"/>
        <v>-0.012739328813270223</v>
      </c>
      <c r="BA72" s="191">
        <f>INDEX(MO_BSS_ROTE,0,COLUMN())</f>
        <v>-0.089400238486577077</v>
      </c>
      <c r="BB72" s="191">
        <f>INDEX(MO_BSS_ROTE,0,COLUMN())</f>
        <v>-0.32098961644416191</v>
      </c>
      <c r="BC72" s="191">
        <f>INDEX(MO_BSS_ROTE,0,COLUMN())</f>
        <v>0.065039201710620095</v>
      </c>
      <c r="BD72" s="191">
        <f>INDEX(MO_BSS_ROTE,0,COLUMN())</f>
        <v>0.43113783011882517</v>
      </c>
      <c r="BE72" s="1108">
        <f>INDEX(MO_BSS_ROTE,0,COLUMN())</f>
        <v>0.01721394672592105</v>
      </c>
      <c r="BF72" s="191">
        <f t="shared" si="129" ref="BF72:BJ72">INDEX(MO_BSS_ROTE,0,COLUMN())</f>
        <v>0.33931212121109366</v>
      </c>
      <c r="BG72" s="191">
        <f t="shared" si="129"/>
        <v>0.10384764197583939</v>
      </c>
      <c r="BH72" s="789">
        <f>INDEX(MO_BSS_ROTE,0,COLUMN())</f>
        <v>0.23509740562221429</v>
      </c>
      <c r="BI72" s="191">
        <f t="shared" ca="1" si="129"/>
        <v>0.26519248086781338</v>
      </c>
      <c r="BJ72" s="1108">
        <f t="shared" ca="1" si="129"/>
        <v>0.23557305814235863</v>
      </c>
      <c r="BK72" s="191">
        <f ca="1" t="shared" si="130" ref="BK72:BR72">INDEX(MO_BSS_ROTE,0,COLUMN())</f>
        <v>0.27827276592933298</v>
      </c>
      <c r="BL72" s="191">
        <f t="shared" ca="1" si="130"/>
        <v>0.15337128183716031</v>
      </c>
      <c r="BM72" s="191">
        <f t="shared" ca="1" si="130"/>
        <v>0.20884285759836169</v>
      </c>
      <c r="BN72" s="191">
        <f t="shared" ca="1" si="130"/>
        <v>0.27579803338623404</v>
      </c>
      <c r="BO72" s="1108">
        <f t="shared" ca="1" si="130"/>
        <v>0.22921930123739678</v>
      </c>
      <c r="BP72" s="1108">
        <f t="shared" ca="1" si="130"/>
        <v>0.20407422626648422</v>
      </c>
      <c r="BQ72" s="1108">
        <f t="shared" ca="1" si="130"/>
        <v>0.17782842882469516</v>
      </c>
      <c r="BR72" s="1108">
        <f t="shared" ca="1" si="130"/>
        <v>0.15835621864444221</v>
      </c>
      <c r="BS72" s="310"/>
    </row>
    <row r="73" spans="1:71" ht="15" customHeight="1">
      <c r="A73" s="277"/>
      <c r="B73" s="265"/>
      <c r="C73" s="1099"/>
      <c r="D73" s="1099"/>
      <c r="E73" s="1099"/>
      <c r="F73" s="1099"/>
      <c r="G73" s="1099"/>
      <c r="H73" s="877"/>
      <c r="I73" s="877"/>
      <c r="J73" s="877"/>
      <c r="K73" s="877"/>
      <c r="L73" s="1099"/>
      <c r="M73" s="877"/>
      <c r="N73" s="877"/>
      <c r="O73" s="877"/>
      <c r="P73" s="877"/>
      <c r="Q73" s="1099"/>
      <c r="R73" s="877"/>
      <c r="S73" s="877"/>
      <c r="T73" s="877"/>
      <c r="U73" s="877"/>
      <c r="V73" s="1099"/>
      <c r="W73" s="877"/>
      <c r="X73" s="877"/>
      <c r="Y73" s="877"/>
      <c r="Z73" s="877"/>
      <c r="AA73" s="1099"/>
      <c r="AB73" s="877"/>
      <c r="AC73" s="877"/>
      <c r="AD73" s="877"/>
      <c r="AE73" s="877"/>
      <c r="AF73" s="1099"/>
      <c r="AG73" s="877"/>
      <c r="AH73" s="877"/>
      <c r="AI73" s="877"/>
      <c r="AJ73" s="877"/>
      <c r="AK73" s="1099"/>
      <c r="AL73" s="877"/>
      <c r="AM73" s="877"/>
      <c r="AN73" s="877"/>
      <c r="AO73" s="877"/>
      <c r="AP73" s="1099"/>
      <c r="AQ73" s="877"/>
      <c r="AR73" s="877"/>
      <c r="AS73" s="877"/>
      <c r="AT73" s="877"/>
      <c r="AU73" s="1099"/>
      <c r="AV73" s="877"/>
      <c r="AW73" s="877"/>
      <c r="AX73" s="877"/>
      <c r="AY73" s="877"/>
      <c r="AZ73" s="1099"/>
      <c r="BA73" s="877"/>
      <c r="BB73" s="877"/>
      <c r="BC73" s="877"/>
      <c r="BD73" s="877"/>
      <c r="BE73" s="1099"/>
      <c r="BF73" s="877"/>
      <c r="BG73" s="877"/>
      <c r="BH73" s="878"/>
      <c r="BI73" s="877"/>
      <c r="BJ73" s="1099"/>
      <c r="BK73" s="877"/>
      <c r="BL73" s="877"/>
      <c r="BM73" s="877"/>
      <c r="BN73" s="877"/>
      <c r="BO73" s="1099"/>
      <c r="BP73" s="1099"/>
      <c r="BQ73" s="1099"/>
      <c r="BR73" s="1099"/>
      <c r="BS73" s="827"/>
    </row>
    <row r="74" spans="1:71" ht="15">
      <c r="A74" s="167" t="s">
        <v>97</v>
      </c>
      <c r="B74" s="826"/>
      <c r="C74" s="874"/>
      <c r="D74" s="874"/>
      <c r="E74" s="874"/>
      <c r="F74" s="874"/>
      <c r="G74" s="874"/>
      <c r="H74" s="874"/>
      <c r="I74" s="874"/>
      <c r="J74" s="874"/>
      <c r="K74" s="874"/>
      <c r="L74" s="874"/>
      <c r="M74" s="874"/>
      <c r="N74" s="874"/>
      <c r="O74" s="874"/>
      <c r="P74" s="874"/>
      <c r="Q74" s="874"/>
      <c r="R74" s="874"/>
      <c r="S74" s="874"/>
      <c r="T74" s="874"/>
      <c r="U74" s="874"/>
      <c r="V74" s="874"/>
      <c r="W74" s="874"/>
      <c r="X74" s="874"/>
      <c r="Y74" s="874"/>
      <c r="Z74" s="874"/>
      <c r="AA74" s="874"/>
      <c r="AB74" s="874"/>
      <c r="AC74" s="874"/>
      <c r="AD74" s="874"/>
      <c r="AE74" s="874"/>
      <c r="AF74" s="874"/>
      <c r="AG74" s="874"/>
      <c r="AH74" s="874"/>
      <c r="AI74" s="874"/>
      <c r="AJ74" s="874"/>
      <c r="AK74" s="874"/>
      <c r="AL74" s="874"/>
      <c r="AM74" s="874"/>
      <c r="AN74" s="874"/>
      <c r="AO74" s="874"/>
      <c r="AP74" s="874"/>
      <c r="AQ74" s="874"/>
      <c r="AR74" s="874"/>
      <c r="AS74" s="874"/>
      <c r="AT74" s="874"/>
      <c r="AU74" s="874"/>
      <c r="AV74" s="874"/>
      <c r="AW74" s="874"/>
      <c r="AX74" s="874"/>
      <c r="AY74" s="874"/>
      <c r="AZ74" s="874"/>
      <c r="BA74" s="874"/>
      <c r="BB74" s="874"/>
      <c r="BC74" s="874"/>
      <c r="BD74" s="874"/>
      <c r="BE74" s="874"/>
      <c r="BF74" s="874"/>
      <c r="BG74" s="874"/>
      <c r="BH74" s="875"/>
      <c r="BI74" s="874"/>
      <c r="BJ74" s="874"/>
      <c r="BK74" s="874"/>
      <c r="BL74" s="874"/>
      <c r="BM74" s="874"/>
      <c r="BN74" s="874"/>
      <c r="BO74" s="874"/>
      <c r="BP74" s="874"/>
      <c r="BQ74" s="874"/>
      <c r="BR74" s="874"/>
      <c r="BS74" s="828"/>
    </row>
    <row r="75" spans="1:71" s="427" customFormat="1" ht="15">
      <c r="A75" s="266" t="str">
        <f>INDEX(MO_BSS_NUPR,0,COLUMN())</f>
        <v>Net Unearned Premium Reserves</v>
      </c>
      <c r="B75" s="285"/>
      <c r="C75" s="1109">
        <f t="shared" si="131" ref="C75:AZ75">INDEX(MO_BSS_NUPR,0,COLUMN())</f>
        <v>9822</v>
      </c>
      <c r="D75" s="1109">
        <f t="shared" si="131"/>
        <v>9800</v>
      </c>
      <c r="E75" s="1109">
        <f t="shared" si="131"/>
        <v>10057</v>
      </c>
      <c r="F75" s="1109">
        <f t="shared" si="131"/>
        <v>10375</v>
      </c>
      <c r="G75" s="1109">
        <f t="shared" si="131"/>
        <v>10932</v>
      </c>
      <c r="H75" s="193">
        <f t="shared" si="131"/>
        <v>10821</v>
      </c>
      <c r="I75" s="193">
        <f t="shared" si="131"/>
        <v>11217</v>
      </c>
      <c r="J75" s="193">
        <f t="shared" si="131"/>
        <v>11728</v>
      </c>
      <c r="K75" s="193">
        <f t="shared" si="131"/>
        <v>11655</v>
      </c>
      <c r="L75" s="1109">
        <f t="shared" si="131"/>
        <v>11655</v>
      </c>
      <c r="M75" s="193">
        <f t="shared" si="131"/>
        <v>11489</v>
      </c>
      <c r="N75" s="193">
        <f t="shared" si="131"/>
        <v>11858</v>
      </c>
      <c r="O75" s="193">
        <f t="shared" si="131"/>
        <v>12343</v>
      </c>
      <c r="P75" s="193">
        <f t="shared" si="131"/>
        <v>12202</v>
      </c>
      <c r="Q75" s="1109">
        <f t="shared" si="131"/>
        <v>12202</v>
      </c>
      <c r="R75" s="193">
        <f t="shared" si="131"/>
        <v>12036</v>
      </c>
      <c r="S75" s="193">
        <f t="shared" si="131"/>
        <v>12300</v>
      </c>
      <c r="T75" s="193">
        <f t="shared" si="131"/>
        <v>12772</v>
      </c>
      <c r="U75" s="193">
        <f t="shared" si="131"/>
        <v>12583</v>
      </c>
      <c r="V75" s="1109">
        <f t="shared" si="131"/>
        <v>12583</v>
      </c>
      <c r="W75" s="193">
        <f t="shared" si="131"/>
        <v>12705</v>
      </c>
      <c r="X75" s="193">
        <f t="shared" si="131"/>
        <v>13024</v>
      </c>
      <c r="Y75" s="193">
        <f t="shared" si="131"/>
        <v>13535</v>
      </c>
      <c r="Z75" s="193">
        <f t="shared" si="131"/>
        <v>13473</v>
      </c>
      <c r="AA75" s="1109">
        <f t="shared" si="131"/>
        <v>13473</v>
      </c>
      <c r="AB75" s="193">
        <f t="shared" si="131"/>
        <v>13448</v>
      </c>
      <c r="AC75" s="193">
        <f t="shared" si="131"/>
        <v>13824</v>
      </c>
      <c r="AD75" s="193">
        <f t="shared" si="131"/>
        <v>14408</v>
      </c>
      <c r="AE75" s="193">
        <f t="shared" si="131"/>
        <v>14510</v>
      </c>
      <c r="AF75" s="1109">
        <f t="shared" si="131"/>
        <v>14510</v>
      </c>
      <c r="AG75" s="193">
        <f t="shared" si="131"/>
        <v>14323</v>
      </c>
      <c r="AH75" s="193">
        <f t="shared" si="131"/>
        <v>14752</v>
      </c>
      <c r="AI75" s="193">
        <f t="shared" si="131"/>
        <v>15343</v>
      </c>
      <c r="AJ75" s="193">
        <f t="shared" si="131"/>
        <v>15343</v>
      </c>
      <c r="AK75" s="1109">
        <f t="shared" si="131"/>
        <v>15343</v>
      </c>
      <c r="AL75" s="193">
        <f>INDEX(MO_BSS_NUPR,0,COLUMN())</f>
        <v>14999</v>
      </c>
      <c r="AM75" s="193">
        <f>INDEX(MO_BSS_NUPR,0,COLUMN())</f>
        <v>15448</v>
      </c>
      <c r="AN75" s="193">
        <f>INDEX(MO_BSS_NUPR,0,COLUMN())</f>
        <v>16029</v>
      </c>
      <c r="AO75" s="193">
        <f t="shared" si="131"/>
        <v>15949</v>
      </c>
      <c r="AP75" s="1109">
        <f t="shared" si="131"/>
        <v>15949</v>
      </c>
      <c r="AQ75" s="193">
        <f>INDEX(MO_BSS_NUPR,0,COLUMN())</f>
        <v>18177</v>
      </c>
      <c r="AR75" s="193">
        <f>INDEX(MO_BSS_NUPR,0,COLUMN())</f>
        <v>18756</v>
      </c>
      <c r="AS75" s="193">
        <f>INDEX(MO_BSS_NUPR,0,COLUMN())</f>
        <v>19627</v>
      </c>
      <c r="AT75" s="193">
        <f t="shared" si="131"/>
        <v>19844</v>
      </c>
      <c r="AU75" s="1109">
        <f t="shared" si="131"/>
        <v>19844</v>
      </c>
      <c r="AV75" s="193">
        <f>INDEX(MO_BSS_NUPR,0,COLUMN())</f>
        <v>20248</v>
      </c>
      <c r="AW75" s="193">
        <f>INDEX(MO_BSS_NUPR,0,COLUMN())</f>
        <v>21026</v>
      </c>
      <c r="AX75" s="193">
        <f>INDEX(MO_BSS_NUPR,0,COLUMN())</f>
        <v>22026</v>
      </c>
      <c r="AY75" s="193">
        <f t="shared" si="131"/>
        <v>22311</v>
      </c>
      <c r="AZ75" s="1109">
        <f t="shared" si="131"/>
        <v>22311</v>
      </c>
      <c r="BA75" s="193">
        <f>INDEX(MO_BSS_NUPR,0,COLUMN())</f>
        <v>22499</v>
      </c>
      <c r="BB75" s="193">
        <f>INDEX(MO_BSS_NUPR,0,COLUMN())</f>
        <v>23355</v>
      </c>
      <c r="BC75" s="193">
        <f>INDEX(MO_BSS_NUPR,0,COLUMN())</f>
        <v>24518</v>
      </c>
      <c r="BD75" s="193">
        <f>INDEX(MO_BSS_NUPR,0,COLUMN())</f>
        <v>24709</v>
      </c>
      <c r="BE75" s="1109">
        <f>INDEX(MO_BSS_NUPR,0,COLUMN())</f>
        <v>24709</v>
      </c>
      <c r="BF75" s="193">
        <f t="shared" si="132" ref="BF75:BJ75">INDEX(MO_BSS_NUPR,0,COLUMN())</f>
        <v>24945</v>
      </c>
      <c r="BG75" s="193">
        <f t="shared" si="132"/>
        <v>25929</v>
      </c>
      <c r="BH75" s="790">
        <f>INDEX(MO_BSS_NUPR,0,COLUMN())</f>
        <v>27059</v>
      </c>
      <c r="BI75" s="193">
        <f t="shared" si="132"/>
        <v>25826.867000000002</v>
      </c>
      <c r="BJ75" s="1109">
        <f t="shared" si="132"/>
        <v>25826.867000000002</v>
      </c>
      <c r="BK75" s="193">
        <f t="shared" si="133" ref="BK75:BR75">INDEX(MO_BSS_NUPR,0,COLUMN())</f>
        <v>26009.805</v>
      </c>
      <c r="BL75" s="193">
        <f t="shared" si="133"/>
        <v>26216.069</v>
      </c>
      <c r="BM75" s="193">
        <f t="shared" si="133"/>
        <v>26428.371999999999</v>
      </c>
      <c r="BN75" s="193">
        <f t="shared" si="133"/>
        <v>25116.949670000002</v>
      </c>
      <c r="BO75" s="1109">
        <f t="shared" si="133"/>
        <v>25116.949670000002</v>
      </c>
      <c r="BP75" s="1109">
        <f t="shared" si="133"/>
        <v>25734.117808899999</v>
      </c>
      <c r="BQ75" s="1109">
        <f t="shared" si="133"/>
        <v>26555.416184577</v>
      </c>
      <c r="BR75" s="1109">
        <f t="shared" si="133"/>
        <v>27401.053511524311</v>
      </c>
      <c r="BS75" s="177"/>
    </row>
    <row r="76" spans="1:71" s="427" customFormat="1" ht="15">
      <c r="A76" s="268" t="str">
        <f>INDEX(MO_BSS_NLR,0,COLUMN())</f>
        <v>Net Loss Reserves</v>
      </c>
      <c r="B76" s="286"/>
      <c r="C76" s="1110">
        <f t="shared" si="134" ref="C76:AZ76">INDEX(MO_BSS_NLR,0,COLUMN())</f>
        <v>25722</v>
      </c>
      <c r="D76" s="1110">
        <f t="shared" si="134"/>
        <v>26366</v>
      </c>
      <c r="E76" s="1110">
        <f t="shared" si="134"/>
        <v>27530</v>
      </c>
      <c r="F76" s="1110">
        <f t="shared" si="134"/>
        <v>27416</v>
      </c>
      <c r="G76" s="1110">
        <f t="shared" si="134"/>
        <v>26622</v>
      </c>
      <c r="H76" s="195">
        <f t="shared" si="134"/>
        <v>26908</v>
      </c>
      <c r="I76" s="195">
        <f t="shared" si="134"/>
        <v>27505</v>
      </c>
      <c r="J76" s="195">
        <f t="shared" si="134"/>
        <v>27277</v>
      </c>
      <c r="K76" s="195">
        <f t="shared" si="134"/>
        <v>26813</v>
      </c>
      <c r="L76" s="1110">
        <f t="shared" si="134"/>
        <v>26813</v>
      </c>
      <c r="M76" s="195">
        <f t="shared" si="134"/>
        <v>27013</v>
      </c>
      <c r="N76" s="195">
        <f t="shared" si="134"/>
        <v>27409</v>
      </c>
      <c r="O76" s="195">
        <f t="shared" si="134"/>
        <v>27518</v>
      </c>
      <c r="P76" s="195">
        <f t="shared" si="134"/>
        <v>27598</v>
      </c>
      <c r="Q76" s="1110">
        <f t="shared" si="134"/>
        <v>27598</v>
      </c>
      <c r="R76" s="195">
        <f t="shared" si="134"/>
        <v>28256</v>
      </c>
      <c r="S76" s="195">
        <f t="shared" si="134"/>
        <v>28469</v>
      </c>
      <c r="T76" s="195">
        <f t="shared" si="134"/>
        <v>28756</v>
      </c>
      <c r="U76" s="195">
        <f t="shared" si="134"/>
        <v>28744</v>
      </c>
      <c r="V76" s="1110">
        <f t="shared" si="134"/>
        <v>28744</v>
      </c>
      <c r="W76" s="195">
        <f t="shared" si="134"/>
        <v>29128</v>
      </c>
      <c r="X76" s="195">
        <f t="shared" si="134"/>
        <v>29396</v>
      </c>
      <c r="Y76" s="195">
        <f t="shared" si="134"/>
        <v>29633</v>
      </c>
      <c r="Z76" s="195">
        <f t="shared" si="134"/>
        <v>29953</v>
      </c>
      <c r="AA76" s="1110">
        <f t="shared" si="134"/>
        <v>29953</v>
      </c>
      <c r="AB76" s="195">
        <f t="shared" si="134"/>
        <v>29532</v>
      </c>
      <c r="AC76" s="195">
        <f t="shared" si="134"/>
        <v>29926</v>
      </c>
      <c r="AD76" s="195">
        <f t="shared" si="134"/>
        <v>30159</v>
      </c>
      <c r="AE76" s="195">
        <f t="shared" si="134"/>
        <v>30066</v>
      </c>
      <c r="AF76" s="1110">
        <f t="shared" si="134"/>
        <v>30066</v>
      </c>
      <c r="AG76" s="195">
        <f t="shared" si="134"/>
        <v>30370</v>
      </c>
      <c r="AH76" s="195">
        <f t="shared" si="134"/>
        <v>31150</v>
      </c>
      <c r="AI76" s="195">
        <f t="shared" si="134"/>
        <v>31091</v>
      </c>
      <c r="AJ76" s="195">
        <f t="shared" si="134"/>
        <v>30801</v>
      </c>
      <c r="AK76" s="1110">
        <f t="shared" si="134"/>
        <v>30801</v>
      </c>
      <c r="AL76" s="195">
        <f>INDEX(MO_BSS_NLR,0,COLUMN())</f>
        <v>30178</v>
      </c>
      <c r="AM76" s="195">
        <f>INDEX(MO_BSS_NLR,0,COLUMN())</f>
        <v>30607</v>
      </c>
      <c r="AN76" s="195">
        <f>INDEX(MO_BSS_NLR,0,COLUMN())</f>
        <v>31649</v>
      </c>
      <c r="AO76" s="195">
        <f t="shared" si="134"/>
        <v>31158</v>
      </c>
      <c r="AP76" s="1110">
        <f t="shared" si="134"/>
        <v>31158</v>
      </c>
      <c r="AQ76" s="195">
        <f>INDEX(MO_BSS_NLR,0,COLUMN())</f>
        <v>22988</v>
      </c>
      <c r="AR76" s="195">
        <f>INDEX(MO_BSS_NLR,0,COLUMN())</f>
        <v>23379</v>
      </c>
      <c r="AS76" s="195">
        <f>INDEX(MO_BSS_NLR,0,COLUMN())</f>
        <v>24107</v>
      </c>
      <c r="AT76" s="195">
        <f t="shared" si="134"/>
        <v>24309</v>
      </c>
      <c r="AU76" s="1110">
        <f t="shared" si="134"/>
        <v>24309</v>
      </c>
      <c r="AV76" s="195">
        <f>INDEX(MO_BSS_NLR,0,COLUMN())</f>
        <v>24574</v>
      </c>
      <c r="AW76" s="195">
        <f>INDEX(MO_BSS_NLR,0,COLUMN())</f>
        <v>26195</v>
      </c>
      <c r="AX76" s="195">
        <f>INDEX(MO_BSS_NLR,0,COLUMN())</f>
        <v>27844</v>
      </c>
      <c r="AY76" s="195">
        <f t="shared" si="134"/>
        <v>29208</v>
      </c>
      <c r="AZ76" s="1110">
        <f t="shared" si="134"/>
        <v>29208</v>
      </c>
      <c r="BA76" s="195">
        <f>INDEX(MO_BSS_NLR,0,COLUMN())</f>
        <v>30454</v>
      </c>
      <c r="BB76" s="195">
        <f>INDEX(MO_BSS_NLR,0,COLUMN())</f>
        <v>32719</v>
      </c>
      <c r="BC76" s="195">
        <f>INDEX(MO_BSS_NLR,0,COLUMN())</f>
        <v>32885</v>
      </c>
      <c r="BD76" s="195">
        <f>INDEX(MO_BSS_NLR,0,COLUMN())</f>
        <v>32396</v>
      </c>
      <c r="BE76" s="1110">
        <f>INDEX(MO_BSS_NLR,0,COLUMN())</f>
        <v>32396</v>
      </c>
      <c r="BF76" s="195">
        <f t="shared" si="135" ref="BF76:BJ76">INDEX(MO_BSS_NLR,0,COLUMN())</f>
        <v>32742</v>
      </c>
      <c r="BG76" s="195">
        <f t="shared" si="135"/>
        <v>34167</v>
      </c>
      <c r="BH76" s="791">
        <f>INDEX(MO_BSS_NLR,0,COLUMN())</f>
        <v>34004</v>
      </c>
      <c r="BI76" s="195">
        <f t="shared" si="135"/>
        <v>34468.493165</v>
      </c>
      <c r="BJ76" s="1110">
        <f t="shared" si="135"/>
        <v>34468.493165</v>
      </c>
      <c r="BK76" s="195">
        <f t="shared" si="136" ref="BK76:BR76">INDEX(MO_BSS_NLR,0,COLUMN())</f>
        <v>34954.064438000001</v>
      </c>
      <c r="BL76" s="195">
        <f t="shared" si="136"/>
        <v>35520.753239999998</v>
      </c>
      <c r="BM76" s="195">
        <f t="shared" si="136"/>
        <v>36082.678187999998</v>
      </c>
      <c r="BN76" s="195">
        <f t="shared" si="136"/>
        <v>36574.462340999999</v>
      </c>
      <c r="BO76" s="1110">
        <f t="shared" si="136"/>
        <v>36574.462340999999</v>
      </c>
      <c r="BP76" s="1110">
        <f t="shared" si="136"/>
        <v>38652.459969999996</v>
      </c>
      <c r="BQ76" s="1110">
        <f t="shared" si="136"/>
        <v>40786.370596999994</v>
      </c>
      <c r="BR76" s="1110">
        <f t="shared" si="136"/>
        <v>42983.982492999996</v>
      </c>
      <c r="BS76" s="177"/>
    </row>
    <row r="77" spans="1:71" s="70" customFormat="1" ht="15">
      <c r="A77" s="261" t="str">
        <f>INDEX(MO_BSS_NTR,0,COLUMN())</f>
        <v>Net Technical Reserves</v>
      </c>
      <c r="B77" s="376"/>
      <c r="C77" s="1111">
        <f t="shared" si="137" ref="C77:AZ77">INDEX(MO_BSS_NTR,0,COLUMN())</f>
        <v>35544</v>
      </c>
      <c r="D77" s="1111">
        <f t="shared" si="137"/>
        <v>36166</v>
      </c>
      <c r="E77" s="1111">
        <f t="shared" si="137"/>
        <v>37587</v>
      </c>
      <c r="F77" s="1111">
        <f t="shared" si="137"/>
        <v>37791</v>
      </c>
      <c r="G77" s="1111">
        <f t="shared" si="137"/>
        <v>37554</v>
      </c>
      <c r="H77" s="378">
        <f t="shared" si="137"/>
        <v>37729</v>
      </c>
      <c r="I77" s="378">
        <f t="shared" si="137"/>
        <v>38722</v>
      </c>
      <c r="J77" s="378">
        <f t="shared" si="137"/>
        <v>39005</v>
      </c>
      <c r="K77" s="378">
        <f t="shared" si="137"/>
        <v>38468</v>
      </c>
      <c r="L77" s="1111">
        <f t="shared" si="137"/>
        <v>38468</v>
      </c>
      <c r="M77" s="378">
        <f t="shared" si="137"/>
        <v>38502</v>
      </c>
      <c r="N77" s="378">
        <f t="shared" si="137"/>
        <v>39267</v>
      </c>
      <c r="O77" s="378">
        <f t="shared" si="137"/>
        <v>39861</v>
      </c>
      <c r="P77" s="378">
        <f t="shared" si="137"/>
        <v>39800</v>
      </c>
      <c r="Q77" s="1111">
        <f t="shared" si="137"/>
        <v>39800</v>
      </c>
      <c r="R77" s="378">
        <f t="shared" si="137"/>
        <v>40292</v>
      </c>
      <c r="S77" s="378">
        <f t="shared" si="137"/>
        <v>40769</v>
      </c>
      <c r="T77" s="378">
        <f t="shared" si="137"/>
        <v>41528</v>
      </c>
      <c r="U77" s="378">
        <f t="shared" si="137"/>
        <v>41327</v>
      </c>
      <c r="V77" s="1111">
        <f t="shared" si="137"/>
        <v>41327</v>
      </c>
      <c r="W77" s="378">
        <f t="shared" si="137"/>
        <v>41833</v>
      </c>
      <c r="X77" s="378">
        <f t="shared" si="137"/>
        <v>42420</v>
      </c>
      <c r="Y77" s="378">
        <f t="shared" si="137"/>
        <v>43168</v>
      </c>
      <c r="Z77" s="378">
        <f t="shared" si="137"/>
        <v>43426</v>
      </c>
      <c r="AA77" s="1111">
        <f t="shared" si="137"/>
        <v>43426</v>
      </c>
      <c r="AB77" s="378">
        <f t="shared" si="137"/>
        <v>42980</v>
      </c>
      <c r="AC77" s="378">
        <f t="shared" si="137"/>
        <v>43750</v>
      </c>
      <c r="AD77" s="378">
        <f t="shared" si="137"/>
        <v>44567</v>
      </c>
      <c r="AE77" s="378">
        <f t="shared" si="137"/>
        <v>44576</v>
      </c>
      <c r="AF77" s="1111">
        <f t="shared" si="137"/>
        <v>44576</v>
      </c>
      <c r="AG77" s="378">
        <f t="shared" si="137"/>
        <v>44693</v>
      </c>
      <c r="AH77" s="378">
        <f t="shared" si="137"/>
        <v>45902</v>
      </c>
      <c r="AI77" s="378">
        <f t="shared" si="137"/>
        <v>46434</v>
      </c>
      <c r="AJ77" s="378">
        <f t="shared" si="137"/>
        <v>46144</v>
      </c>
      <c r="AK77" s="1111">
        <f t="shared" si="137"/>
        <v>46144</v>
      </c>
      <c r="AL77" s="378">
        <f>INDEX(MO_BSS_NTR,0,COLUMN())</f>
        <v>45177</v>
      </c>
      <c r="AM77" s="378">
        <f>INDEX(MO_BSS_NTR,0,COLUMN())</f>
        <v>46055</v>
      </c>
      <c r="AN77" s="378">
        <f>INDEX(MO_BSS_NTR,0,COLUMN())</f>
        <v>47678</v>
      </c>
      <c r="AO77" s="378">
        <f t="shared" si="137"/>
        <v>47107</v>
      </c>
      <c r="AP77" s="1111">
        <f t="shared" si="137"/>
        <v>47107</v>
      </c>
      <c r="AQ77" s="378">
        <f>INDEX(MO_BSS_NTR,0,COLUMN())</f>
        <v>41165</v>
      </c>
      <c r="AR77" s="378">
        <f>INDEX(MO_BSS_NTR,0,COLUMN())</f>
        <v>42135</v>
      </c>
      <c r="AS77" s="378">
        <f>INDEX(MO_BSS_NTR,0,COLUMN())</f>
        <v>43734</v>
      </c>
      <c r="AT77" s="378">
        <f t="shared" si="137"/>
        <v>44153</v>
      </c>
      <c r="AU77" s="1111">
        <f t="shared" si="137"/>
        <v>44153</v>
      </c>
      <c r="AV77" s="378">
        <f>INDEX(MO_BSS_NTR,0,COLUMN())</f>
        <v>44822</v>
      </c>
      <c r="AW77" s="378">
        <f>INDEX(MO_BSS_NTR,0,COLUMN())</f>
        <v>47221</v>
      </c>
      <c r="AX77" s="378">
        <f>INDEX(MO_BSS_NTR,0,COLUMN())</f>
        <v>49870</v>
      </c>
      <c r="AY77" s="378">
        <f t="shared" si="137"/>
        <v>51519</v>
      </c>
      <c r="AZ77" s="1111">
        <f t="shared" si="137"/>
        <v>51519</v>
      </c>
      <c r="BA77" s="378">
        <f>INDEX(MO_BSS_NTR,0,COLUMN())</f>
        <v>52953</v>
      </c>
      <c r="BB77" s="378">
        <f>INDEX(MO_BSS_NTR,0,COLUMN())</f>
        <v>56074</v>
      </c>
      <c r="BC77" s="378">
        <f>INDEX(MO_BSS_NTR,0,COLUMN())</f>
        <v>57403</v>
      </c>
      <c r="BD77" s="378">
        <f>INDEX(MO_BSS_NTR,0,COLUMN())</f>
        <v>57105</v>
      </c>
      <c r="BE77" s="1111">
        <f>INDEX(MO_BSS_NTR,0,COLUMN())</f>
        <v>57105</v>
      </c>
      <c r="BF77" s="378">
        <f t="shared" si="138" ref="BF77:BJ77">INDEX(MO_BSS_NTR,0,COLUMN())</f>
        <v>57687</v>
      </c>
      <c r="BG77" s="378">
        <f t="shared" si="138"/>
        <v>60096</v>
      </c>
      <c r="BH77" s="792">
        <f>INDEX(MO_BSS_NTR,0,COLUMN())</f>
        <v>61063</v>
      </c>
      <c r="BI77" s="378">
        <f t="shared" si="138"/>
        <v>60295.360164999998</v>
      </c>
      <c r="BJ77" s="1111">
        <f t="shared" si="138"/>
        <v>60295.360164999998</v>
      </c>
      <c r="BK77" s="378">
        <f t="shared" si="139" ref="BK77:BR77">INDEX(MO_BSS_NTR,0,COLUMN())</f>
        <v>60963.869438000002</v>
      </c>
      <c r="BL77" s="378">
        <f t="shared" si="139"/>
        <v>61736.822240000001</v>
      </c>
      <c r="BM77" s="378">
        <f t="shared" si="139"/>
        <v>62511.050188000001</v>
      </c>
      <c r="BN77" s="378">
        <f t="shared" si="139"/>
        <v>61691.412011</v>
      </c>
      <c r="BO77" s="1111">
        <f t="shared" si="139"/>
        <v>61691.412011</v>
      </c>
      <c r="BP77" s="1111">
        <f t="shared" si="139"/>
        <v>64386.577778999999</v>
      </c>
      <c r="BQ77" s="1111">
        <f t="shared" si="139"/>
        <v>67341.786781999996</v>
      </c>
      <c r="BR77" s="1111">
        <f t="shared" si="139"/>
        <v>70385.036005000002</v>
      </c>
      <c r="BS77" s="175"/>
    </row>
    <row r="78" spans="1:71" s="69" customFormat="1" ht="15">
      <c r="A78" s="287"/>
      <c r="B78" s="280"/>
      <c r="C78" s="1112"/>
      <c r="D78" s="1112"/>
      <c r="E78" s="1112"/>
      <c r="F78" s="1112"/>
      <c r="G78" s="1112"/>
      <c r="H78" s="197"/>
      <c r="I78" s="197"/>
      <c r="J78" s="197"/>
      <c r="K78" s="197"/>
      <c r="L78" s="1112"/>
      <c r="M78" s="197"/>
      <c r="N78" s="197"/>
      <c r="O78" s="197"/>
      <c r="P78" s="197"/>
      <c r="Q78" s="1112"/>
      <c r="R78" s="197"/>
      <c r="S78" s="197"/>
      <c r="T78" s="197"/>
      <c r="U78" s="197"/>
      <c r="V78" s="1112"/>
      <c r="W78" s="197"/>
      <c r="X78" s="197"/>
      <c r="Y78" s="197"/>
      <c r="Z78" s="197"/>
      <c r="AA78" s="1112"/>
      <c r="AB78" s="197"/>
      <c r="AC78" s="197"/>
      <c r="AD78" s="197"/>
      <c r="AE78" s="197"/>
      <c r="AF78" s="1112"/>
      <c r="AG78" s="197"/>
      <c r="AH78" s="197"/>
      <c r="AI78" s="197"/>
      <c r="AJ78" s="197"/>
      <c r="AK78" s="1112"/>
      <c r="AL78" s="197"/>
      <c r="AM78" s="197"/>
      <c r="AN78" s="197"/>
      <c r="AO78" s="197"/>
      <c r="AP78" s="1112"/>
      <c r="AQ78" s="197"/>
      <c r="AR78" s="197"/>
      <c r="AS78" s="197"/>
      <c r="AT78" s="197"/>
      <c r="AU78" s="1112"/>
      <c r="AV78" s="197"/>
      <c r="AW78" s="197"/>
      <c r="AX78" s="197"/>
      <c r="AY78" s="197"/>
      <c r="AZ78" s="1112"/>
      <c r="BA78" s="197"/>
      <c r="BB78" s="197"/>
      <c r="BC78" s="197"/>
      <c r="BD78" s="197"/>
      <c r="BE78" s="1112"/>
      <c r="BF78" s="197"/>
      <c r="BG78" s="197"/>
      <c r="BH78" s="793"/>
      <c r="BI78" s="197"/>
      <c r="BJ78" s="1112"/>
      <c r="BK78" s="197"/>
      <c r="BL78" s="197"/>
      <c r="BM78" s="197"/>
      <c r="BN78" s="197"/>
      <c r="BO78" s="1112"/>
      <c r="BP78" s="1112"/>
      <c r="BQ78" s="1112"/>
      <c r="BR78" s="1112"/>
      <c r="BS78" s="181"/>
    </row>
    <row r="79" spans="1:71" s="71" customFormat="1" ht="15">
      <c r="A79" s="281" t="str">
        <f>INDEX(MO_BSS_BVPS,0,COLUMN())</f>
        <v>Book Value per Common Share</v>
      </c>
      <c r="B79" s="278"/>
      <c r="C79" s="1091">
        <f t="shared" si="140" ref="C79:AZ79">INDEX(MO_BSS_BVPS,0,COLUMN())</f>
        <v>30.836874000000002</v>
      </c>
      <c r="D79" s="1091">
        <f t="shared" si="140"/>
        <v>34.578380000000003</v>
      </c>
      <c r="E79" s="1091">
        <f t="shared" si="140"/>
        <v>36.176354000000003</v>
      </c>
      <c r="F79" s="1091">
        <f t="shared" si="140"/>
        <v>42.389288999999998</v>
      </c>
      <c r="G79" s="1091">
        <f t="shared" si="140"/>
        <v>45.305318</v>
      </c>
      <c r="H79" s="341">
        <f t="shared" si="140"/>
        <v>46.701428</v>
      </c>
      <c r="I79" s="341">
        <f t="shared" si="140"/>
        <v>47.970027000000002</v>
      </c>
      <c r="J79" s="341">
        <f t="shared" si="140"/>
        <v>48.282899</v>
      </c>
      <c r="K79" s="341">
        <f t="shared" si="140"/>
        <v>48.235570000000003</v>
      </c>
      <c r="L79" s="1091">
        <f t="shared" si="140"/>
        <v>48.235570000000003</v>
      </c>
      <c r="M79" s="341">
        <f t="shared" si="140"/>
        <v>49.188733999999997</v>
      </c>
      <c r="N79" s="341">
        <f t="shared" si="140"/>
        <v>47.956831000000001</v>
      </c>
      <c r="O79" s="341">
        <f t="shared" si="140"/>
        <v>47.536746000000001</v>
      </c>
      <c r="P79" s="341">
        <f t="shared" si="140"/>
        <v>47.342657000000003</v>
      </c>
      <c r="Q79" s="1091">
        <f t="shared" si="140"/>
        <v>47.342657000000003</v>
      </c>
      <c r="R79" s="341">
        <f t="shared" si="140"/>
        <v>48.892978999999997</v>
      </c>
      <c r="S79" s="341">
        <f t="shared" si="140"/>
        <v>50.152000000000001</v>
      </c>
      <c r="T79" s="341">
        <f t="shared" si="140"/>
        <v>51.483767</v>
      </c>
      <c r="U79" s="341">
        <f t="shared" si="140"/>
        <v>50.774002000000003</v>
      </c>
      <c r="V79" s="1091">
        <f t="shared" si="140"/>
        <v>50.774002000000003</v>
      </c>
      <c r="W79" s="341">
        <f t="shared" si="140"/>
        <v>52.408206999999997</v>
      </c>
      <c r="X79" s="341">
        <f t="shared" si="140"/>
        <v>53.828338000000002</v>
      </c>
      <c r="Y79" s="341">
        <f t="shared" si="140"/>
        <v>55.694369000000002</v>
      </c>
      <c r="Z79" s="341">
        <f t="shared" si="140"/>
        <v>57.583725000000001</v>
      </c>
      <c r="AA79" s="1091">
        <f t="shared" si="140"/>
        <v>57.583725000000001</v>
      </c>
      <c r="AB79" s="341">
        <f t="shared" si="140"/>
        <v>58.635728</v>
      </c>
      <c r="AC79" s="341">
        <f t="shared" si="140"/>
        <v>59.161693999999997</v>
      </c>
      <c r="AD79" s="341">
        <f t="shared" si="140"/>
        <v>60.786549000000001</v>
      </c>
      <c r="AE79" s="341">
        <f t="shared" si="140"/>
        <v>57.564597999999997</v>
      </c>
      <c r="AF79" s="1091">
        <f t="shared" si="140"/>
        <v>57.564597999999997</v>
      </c>
      <c r="AG79" s="341">
        <f t="shared" si="140"/>
        <v>64.528529000000006</v>
      </c>
      <c r="AH79" s="341">
        <f t="shared" si="140"/>
        <v>67.281408999999996</v>
      </c>
      <c r="AI79" s="341">
        <f t="shared" si="140"/>
        <v>69.836661000000007</v>
      </c>
      <c r="AJ79" s="341">
        <f t="shared" si="140"/>
        <v>73.121921</v>
      </c>
      <c r="AK79" s="1091">
        <f t="shared" si="140"/>
        <v>73.121921</v>
      </c>
      <c r="AL79" s="341">
        <f>INDEX(MO_BSS_BVPS,0,COLUMN())</f>
        <v>69.667399000000003</v>
      </c>
      <c r="AM79" s="341">
        <f>INDEX(MO_BSS_BVPS,0,COLUMN())</f>
        <v>79.214692999999997</v>
      </c>
      <c r="AN79" s="341">
        <f>INDEX(MO_BSS_BVPS,0,COLUMN())</f>
        <v>82.387621999999993</v>
      </c>
      <c r="AO79" s="341">
        <f t="shared" si="140"/>
        <v>91.503077000000005</v>
      </c>
      <c r="AP79" s="1091">
        <f t="shared" si="140"/>
        <v>91.503077000000005</v>
      </c>
      <c r="AQ79" s="341">
        <f>INDEX(MO_BSS_BVPS,0,COLUMN())</f>
        <v>81.082237000000006</v>
      </c>
      <c r="AR79" s="341">
        <f>INDEX(MO_BSS_BVPS,0,COLUMN())</f>
        <v>86.329576000000003</v>
      </c>
      <c r="AS79" s="341">
        <f>INDEX(MO_BSS_BVPS,0,COLUMN())</f>
        <v>84.617225000000005</v>
      </c>
      <c r="AT79" s="341">
        <f t="shared" si="140"/>
        <v>81.520899</v>
      </c>
      <c r="AU79" s="1091">
        <f t="shared" si="140"/>
        <v>81.520899</v>
      </c>
      <c r="AV79" s="341">
        <f>INDEX(MO_BSS_BVPS,0,COLUMN())</f>
        <v>75.945656</v>
      </c>
      <c r="AW79" s="341">
        <f>INDEX(MO_BSS_BVPS,0,COLUMN())</f>
        <v>66.150200999999996</v>
      </c>
      <c r="AX79" s="341">
        <f>INDEX(MO_BSS_BVPS,0,COLUMN())</f>
        <v>58.353771999999999</v>
      </c>
      <c r="AY79" s="341">
        <f t="shared" si="140"/>
        <v>58.071160999999996</v>
      </c>
      <c r="AZ79" s="1091">
        <f t="shared" si="140"/>
        <v>58.071160999999996</v>
      </c>
      <c r="BA79" s="341">
        <f>INDEX(MO_BSS_BVPS,0,COLUMN())</f>
        <v>58.647525999999999</v>
      </c>
      <c r="BB79" s="341">
        <f>INDEX(MO_BSS_BVPS,0,COLUMN())</f>
        <v>51.294117999999997</v>
      </c>
      <c r="BC79" s="341">
        <f>INDEX(MO_BSS_BVPS,0,COLUMN())</f>
        <v>47.787475999999998</v>
      </c>
      <c r="BD79" s="341">
        <f>INDEX(MO_BSS_BVPS,0,COLUMN())</f>
        <v>59.393597</v>
      </c>
      <c r="BE79" s="1091">
        <f>INDEX(MO_BSS_BVPS,0,COLUMN())</f>
        <v>59.393597</v>
      </c>
      <c r="BF79" s="341">
        <f t="shared" si="141" ref="BF79:BJ79">INDEX(MO_BSS_BVPS,0,COLUMN())</f>
        <v>62.270294999999997</v>
      </c>
      <c r="BG79" s="341">
        <f t="shared" si="141"/>
        <v>62.142322</v>
      </c>
      <c r="BH79" s="776">
        <f>INDEX(MO_BSS_BVPS,0,COLUMN())</f>
        <v>70.354080999999994</v>
      </c>
      <c r="BI79" s="341">
        <f t="shared" ca="1" si="141"/>
        <v>74.421328000000003</v>
      </c>
      <c r="BJ79" s="1091">
        <f t="shared" ca="1" si="141"/>
        <v>74.421328000000003</v>
      </c>
      <c r="BK79" s="341">
        <f ca="1" t="shared" si="142" ref="BK79:BR79">INDEX(MO_BSS_BVPS,0,COLUMN())</f>
        <v>78.935095000000004</v>
      </c>
      <c r="BL79" s="341">
        <f t="shared" ca="1" si="142"/>
        <v>81.250134000000003</v>
      </c>
      <c r="BM79" s="341">
        <f t="shared" ca="1" si="142"/>
        <v>84.875011000000001</v>
      </c>
      <c r="BN79" s="341">
        <f t="shared" ca="1" si="142"/>
        <v>90.213222999999999</v>
      </c>
      <c r="BO79" s="1091">
        <f t="shared" ca="1" si="142"/>
        <v>90.213222999999999</v>
      </c>
      <c r="BP79" s="1091">
        <f t="shared" ca="1" si="142"/>
        <v>107.376069</v>
      </c>
      <c r="BQ79" s="1091">
        <f t="shared" ca="1" si="142"/>
        <v>125.042818</v>
      </c>
      <c r="BR79" s="1091">
        <f t="shared" ca="1" si="142"/>
        <v>143.290335</v>
      </c>
      <c r="BS79" s="337"/>
    </row>
    <row r="80" spans="1:71" s="71" customFormat="1" ht="15">
      <c r="A80" s="281" t="str">
        <f>INDEX(MO_BSS_TBVPS,0,COLUMN())</f>
        <v>Tangible Book Value per Common Share</v>
      </c>
      <c r="B80" s="278"/>
      <c r="C80" s="1091">
        <f t="shared" si="143" ref="C80:AZ80">INDEX(MO_BSS_TBVPS,0,COLUMN())</f>
        <v>30.836874000000002</v>
      </c>
      <c r="D80" s="1091">
        <f t="shared" si="143"/>
        <v>34.578380000000003</v>
      </c>
      <c r="E80" s="1091">
        <f t="shared" si="143"/>
        <v>36.176354000000003</v>
      </c>
      <c r="F80" s="1091">
        <f t="shared" si="143"/>
        <v>42.389288999999998</v>
      </c>
      <c r="G80" s="1091">
        <f t="shared" si="143"/>
        <v>45.305318</v>
      </c>
      <c r="H80" s="341">
        <f t="shared" si="143"/>
        <v>46.701428</v>
      </c>
      <c r="I80" s="341">
        <f t="shared" si="143"/>
        <v>47.970027000000002</v>
      </c>
      <c r="J80" s="341">
        <f t="shared" si="143"/>
        <v>48.282899</v>
      </c>
      <c r="K80" s="341">
        <f t="shared" si="143"/>
        <v>48.235570000000003</v>
      </c>
      <c r="L80" s="1091">
        <f t="shared" si="143"/>
        <v>48.235570000000003</v>
      </c>
      <c r="M80" s="341">
        <f t="shared" si="143"/>
        <v>49.188733999999997</v>
      </c>
      <c r="N80" s="341">
        <f t="shared" si="143"/>
        <v>47.956831000000001</v>
      </c>
      <c r="O80" s="341">
        <f t="shared" si="143"/>
        <v>47.536746000000001</v>
      </c>
      <c r="P80" s="341">
        <f t="shared" si="143"/>
        <v>47.342657000000003</v>
      </c>
      <c r="Q80" s="1091">
        <f t="shared" si="143"/>
        <v>47.342657000000003</v>
      </c>
      <c r="R80" s="341">
        <f t="shared" si="143"/>
        <v>48.892978999999997</v>
      </c>
      <c r="S80" s="341">
        <f t="shared" si="143"/>
        <v>50.152000000000001</v>
      </c>
      <c r="T80" s="341">
        <f t="shared" si="143"/>
        <v>51.483767</v>
      </c>
      <c r="U80" s="341">
        <f t="shared" si="143"/>
        <v>50.774002000000003</v>
      </c>
      <c r="V80" s="1091">
        <f t="shared" si="143"/>
        <v>50.774002000000003</v>
      </c>
      <c r="W80" s="341">
        <f t="shared" si="143"/>
        <v>52.408206999999997</v>
      </c>
      <c r="X80" s="341">
        <f t="shared" si="143"/>
        <v>53.828338000000002</v>
      </c>
      <c r="Y80" s="341">
        <f t="shared" si="143"/>
        <v>55.694369000000002</v>
      </c>
      <c r="Z80" s="341">
        <f t="shared" si="143"/>
        <v>57.583725000000001</v>
      </c>
      <c r="AA80" s="1091">
        <f t="shared" si="143"/>
        <v>57.583725000000001</v>
      </c>
      <c r="AB80" s="341">
        <f t="shared" si="143"/>
        <v>58.635728</v>
      </c>
      <c r="AC80" s="341">
        <f t="shared" si="143"/>
        <v>59.161693999999997</v>
      </c>
      <c r="AD80" s="341">
        <f t="shared" si="143"/>
        <v>60.786549000000001</v>
      </c>
      <c r="AE80" s="341">
        <f t="shared" si="143"/>
        <v>57.564597999999997</v>
      </c>
      <c r="AF80" s="1091">
        <f t="shared" si="143"/>
        <v>57.564597999999997</v>
      </c>
      <c r="AG80" s="341">
        <f t="shared" si="143"/>
        <v>64.528529000000006</v>
      </c>
      <c r="AH80" s="341">
        <f t="shared" si="143"/>
        <v>67.281408999999996</v>
      </c>
      <c r="AI80" s="341">
        <f t="shared" si="143"/>
        <v>69.836661000000007</v>
      </c>
      <c r="AJ80" s="341">
        <f t="shared" si="143"/>
        <v>73.121921</v>
      </c>
      <c r="AK80" s="1091">
        <f t="shared" si="143"/>
        <v>73.121921</v>
      </c>
      <c r="AL80" s="341">
        <f>INDEX(MO_BSS_TBVPS,0,COLUMN())</f>
        <v>69.667399000000003</v>
      </c>
      <c r="AM80" s="341">
        <f>INDEX(MO_BSS_TBVPS,0,COLUMN())</f>
        <v>79.214692999999997</v>
      </c>
      <c r="AN80" s="341">
        <f>INDEX(MO_BSS_TBVPS,0,COLUMN())</f>
        <v>82.387621999999993</v>
      </c>
      <c r="AO80" s="341">
        <f t="shared" si="143"/>
        <v>91.503077000000005</v>
      </c>
      <c r="AP80" s="1091">
        <f t="shared" si="143"/>
        <v>91.503077000000005</v>
      </c>
      <c r="AQ80" s="341">
        <f>INDEX(MO_BSS_TBVPS,0,COLUMN())</f>
        <v>81.082237000000006</v>
      </c>
      <c r="AR80" s="341">
        <f>INDEX(MO_BSS_TBVPS,0,COLUMN())</f>
        <v>86.329576000000003</v>
      </c>
      <c r="AS80" s="341">
        <f>INDEX(MO_BSS_TBVPS,0,COLUMN())</f>
        <v>84.617225000000005</v>
      </c>
      <c r="AT80" s="341">
        <f t="shared" si="143"/>
        <v>81.520899</v>
      </c>
      <c r="AU80" s="1091">
        <f t="shared" si="143"/>
        <v>81.520899</v>
      </c>
      <c r="AV80" s="341">
        <f>INDEX(MO_BSS_TBVPS,0,COLUMN())</f>
        <v>75.945656</v>
      </c>
      <c r="AW80" s="341">
        <f>INDEX(MO_BSS_TBVPS,0,COLUMN())</f>
        <v>66.150200999999996</v>
      </c>
      <c r="AX80" s="341">
        <f>INDEX(MO_BSS_TBVPS,0,COLUMN())</f>
        <v>58.353771999999999</v>
      </c>
      <c r="AY80" s="341">
        <f t="shared" si="143"/>
        <v>58.071160999999996</v>
      </c>
      <c r="AZ80" s="1091">
        <f t="shared" si="143"/>
        <v>58.071160999999996</v>
      </c>
      <c r="BA80" s="341">
        <f>INDEX(MO_BSS_TBVPS,0,COLUMN())</f>
        <v>58.647525999999999</v>
      </c>
      <c r="BB80" s="341">
        <f>INDEX(MO_BSS_TBVPS,0,COLUMN())</f>
        <v>51.294117999999997</v>
      </c>
      <c r="BC80" s="341">
        <f>INDEX(MO_BSS_TBVPS,0,COLUMN())</f>
        <v>47.787475999999998</v>
      </c>
      <c r="BD80" s="341">
        <f>INDEX(MO_BSS_TBVPS,0,COLUMN())</f>
        <v>59.393597</v>
      </c>
      <c r="BE80" s="1091">
        <f>INDEX(MO_BSS_TBVPS,0,COLUMN())</f>
        <v>59.393597</v>
      </c>
      <c r="BF80" s="341">
        <f t="shared" si="144" ref="BF80:BJ80">INDEX(MO_BSS_TBVPS,0,COLUMN())</f>
        <v>62.270294999999997</v>
      </c>
      <c r="BG80" s="341">
        <f t="shared" si="144"/>
        <v>62.142322</v>
      </c>
      <c r="BH80" s="776">
        <f>INDEX(MO_BSS_TBVPS,0,COLUMN())</f>
        <v>70.354080999999994</v>
      </c>
      <c r="BI80" s="341">
        <f t="shared" ca="1" si="144"/>
        <v>74.421328000000003</v>
      </c>
      <c r="BJ80" s="1091">
        <f t="shared" ca="1" si="144"/>
        <v>74.421328000000003</v>
      </c>
      <c r="BK80" s="341">
        <f ca="1" t="shared" si="145" ref="BK80:BR80">INDEX(MO_BSS_TBVPS,0,COLUMN())</f>
        <v>78.935095000000004</v>
      </c>
      <c r="BL80" s="341">
        <f t="shared" ca="1" si="145"/>
        <v>81.250134000000003</v>
      </c>
      <c r="BM80" s="341">
        <f t="shared" ca="1" si="145"/>
        <v>84.875011000000001</v>
      </c>
      <c r="BN80" s="341">
        <f t="shared" ca="1" si="145"/>
        <v>90.213222999999999</v>
      </c>
      <c r="BO80" s="1091">
        <f t="shared" ca="1" si="145"/>
        <v>90.213222999999999</v>
      </c>
      <c r="BP80" s="1091">
        <f t="shared" ca="1" si="145"/>
        <v>107.376069</v>
      </c>
      <c r="BQ80" s="1091">
        <f t="shared" ca="1" si="145"/>
        <v>125.042818</v>
      </c>
      <c r="BR80" s="1091">
        <f t="shared" ca="1" si="145"/>
        <v>143.290335</v>
      </c>
      <c r="BS80" s="337"/>
    </row>
    <row r="81" spans="1:71" s="71" customFormat="1" ht="15">
      <c r="A81" s="281"/>
      <c r="B81" s="278"/>
      <c r="C81" s="1091"/>
      <c r="D81" s="1091"/>
      <c r="E81" s="1091"/>
      <c r="F81" s="1091"/>
      <c r="G81" s="1091"/>
      <c r="H81" s="341"/>
      <c r="I81" s="341"/>
      <c r="J81" s="341"/>
      <c r="K81" s="341"/>
      <c r="L81" s="1091"/>
      <c r="M81" s="341"/>
      <c r="N81" s="341"/>
      <c r="O81" s="341"/>
      <c r="P81" s="341"/>
      <c r="Q81" s="1091"/>
      <c r="R81" s="341"/>
      <c r="S81" s="341"/>
      <c r="T81" s="341"/>
      <c r="U81" s="341"/>
      <c r="V81" s="1091"/>
      <c r="W81" s="341"/>
      <c r="X81" s="341"/>
      <c r="Y81" s="341"/>
      <c r="Z81" s="341"/>
      <c r="AA81" s="1091"/>
      <c r="AB81" s="341"/>
      <c r="AC81" s="341"/>
      <c r="AD81" s="341"/>
      <c r="AE81" s="341"/>
      <c r="AF81" s="1091"/>
      <c r="AG81" s="341"/>
      <c r="AH81" s="341"/>
      <c r="AI81" s="341"/>
      <c r="AJ81" s="341"/>
      <c r="AK81" s="1091"/>
      <c r="AL81" s="341"/>
      <c r="AM81" s="341"/>
      <c r="AN81" s="341"/>
      <c r="AO81" s="341"/>
      <c r="AP81" s="1091"/>
      <c r="AQ81" s="341"/>
      <c r="AR81" s="341"/>
      <c r="AS81" s="341"/>
      <c r="AT81" s="341"/>
      <c r="AU81" s="1091"/>
      <c r="AV81" s="341"/>
      <c r="AW81" s="341"/>
      <c r="AX81" s="341"/>
      <c r="AY81" s="341"/>
      <c r="AZ81" s="1091"/>
      <c r="BA81" s="341"/>
      <c r="BB81" s="341"/>
      <c r="BC81" s="341"/>
      <c r="BD81" s="341"/>
      <c r="BE81" s="1091"/>
      <c r="BF81" s="341"/>
      <c r="BG81" s="341"/>
      <c r="BH81" s="776"/>
      <c r="BI81" s="341"/>
      <c r="BJ81" s="1091"/>
      <c r="BK81" s="341"/>
      <c r="BL81" s="341"/>
      <c r="BM81" s="341"/>
      <c r="BN81" s="341"/>
      <c r="BO81" s="1091"/>
      <c r="BP81" s="1091"/>
      <c r="BQ81" s="1091"/>
      <c r="BR81" s="1091"/>
      <c r="BS81" s="337"/>
    </row>
    <row r="82" spans="1:71" ht="15">
      <c r="A82" s="167" t="s">
        <v>268</v>
      </c>
      <c r="B82" s="826"/>
      <c r="C82" s="874"/>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4"/>
      <c r="AM82" s="874"/>
      <c r="AN82" s="874"/>
      <c r="AO82" s="874"/>
      <c r="AP82" s="874"/>
      <c r="AQ82" s="874"/>
      <c r="AR82" s="874"/>
      <c r="AS82" s="874"/>
      <c r="AT82" s="874"/>
      <c r="AU82" s="874"/>
      <c r="AV82" s="874"/>
      <c r="AW82" s="874"/>
      <c r="AX82" s="874"/>
      <c r="AY82" s="874"/>
      <c r="AZ82" s="874"/>
      <c r="BA82" s="874"/>
      <c r="BB82" s="874"/>
      <c r="BC82" s="874"/>
      <c r="BD82" s="874"/>
      <c r="BE82" s="874"/>
      <c r="BF82" s="874"/>
      <c r="BG82" s="874"/>
      <c r="BH82" s="875"/>
      <c r="BI82" s="874"/>
      <c r="BJ82" s="874"/>
      <c r="BK82" s="874"/>
      <c r="BL82" s="874"/>
      <c r="BM82" s="874"/>
      <c r="BN82" s="874"/>
      <c r="BO82" s="874"/>
      <c r="BP82" s="874"/>
      <c r="BQ82" s="874"/>
      <c r="BR82" s="874"/>
      <c r="BS82" s="828"/>
    </row>
    <row r="83" spans="1:71" s="68" customFormat="1" ht="15">
      <c r="A83" s="288" t="str">
        <f>INDEX(MO_VA_P_ToE,0,COLUMN())</f>
        <v>P/E - EoP</v>
      </c>
      <c r="B83" s="289"/>
      <c r="C83" s="1113">
        <f>INDEX(MO_VA_P_ToE,0,COLUMN())</f>
        <v>8.7792009569377996</v>
      </c>
      <c r="D83" s="1113">
        <f>INDEX(MO_VA_P_ToE,0,COLUMN())</f>
        <v>11.209551656920079</v>
      </c>
      <c r="E83" s="1113">
        <f>INDEX(MO_VA_P_ToE,0,COLUMN())</f>
        <v>21.658868580060425</v>
      </c>
      <c r="F83" s="1113">
        <f>INDEX(MO_VA_P_ToE,0,COLUMN())</f>
        <v>9.1485009310986971</v>
      </c>
      <c r="G83" s="1113">
        <f>INDEX(MO_VA_P_ToE,0,COLUMN())</f>
        <v>9.552198127340823</v>
      </c>
      <c r="H83" s="199"/>
      <c r="I83" s="199"/>
      <c r="J83" s="199"/>
      <c r="K83" s="199"/>
      <c r="L83" s="1113">
        <f>INDEX(MO_VA_P_ToE,0,COLUMN())</f>
        <v>13.13304098014364</v>
      </c>
      <c r="M83" s="199"/>
      <c r="N83" s="199"/>
      <c r="O83" s="199"/>
      <c r="P83" s="199"/>
      <c r="Q83" s="1113">
        <f>INDEX(MO_VA_P_ToE,0,COLUMN())</f>
        <v>12.092336961665879</v>
      </c>
      <c r="R83" s="199"/>
      <c r="S83" s="200"/>
      <c r="T83" s="200"/>
      <c r="U83" s="199"/>
      <c r="V83" s="1113">
        <f>INDEX(MO_VA_P_ToE,0,COLUMN())</f>
        <v>15.215166485310123</v>
      </c>
      <c r="W83" s="200"/>
      <c r="X83" s="200"/>
      <c r="Y83" s="200"/>
      <c r="Z83" s="199"/>
      <c r="AA83" s="1113">
        <f>INDEX(MO_VA_P_ToE,0,COLUMN())</f>
        <v>15.611000405350628</v>
      </c>
      <c r="AB83" s="200"/>
      <c r="AC83" s="200"/>
      <c r="AD83" s="200"/>
      <c r="AE83" s="199"/>
      <c r="AF83" s="1113">
        <f>INDEX(MO_VA_P_ToE,0,COLUMN())</f>
        <v>10.161158891616974</v>
      </c>
      <c r="AG83" s="200"/>
      <c r="AH83" s="200"/>
      <c r="AI83" s="200"/>
      <c r="AJ83" s="199"/>
      <c r="AK83" s="1113">
        <f>INDEX(MO_VA_P_ToE,0,COLUMN())</f>
        <v>10.720533505895887</v>
      </c>
      <c r="AL83" s="200"/>
      <c r="AM83" s="200"/>
      <c r="AN83" s="200"/>
      <c r="AO83" s="200"/>
      <c r="AP83" s="1113">
        <f>INDEX(MO_VA_P_ToE,0,COLUMN())</f>
        <v>7.5623503989361707</v>
      </c>
      <c r="AQ83" s="200"/>
      <c r="AR83" s="200"/>
      <c r="AS83" s="200"/>
      <c r="AT83" s="200"/>
      <c r="AU83" s="1113">
        <f>INDEX(MO_VA_P_ToE,0,COLUMN())</f>
        <v>8.7275199603273013</v>
      </c>
      <c r="AV83" s="200"/>
      <c r="AW83" s="200"/>
      <c r="AX83" s="200"/>
      <c r="AY83" s="200"/>
      <c r="AZ83" s="1113">
        <f>INDEX(MO_VA_P_ToE,0,COLUMN())</f>
        <v>-153.86912133891212</v>
      </c>
      <c r="BA83" s="200"/>
      <c r="BB83" s="200"/>
      <c r="BC83" s="200"/>
      <c r="BD83" s="200"/>
      <c r="BE83" s="1113">
        <f>INDEX(MO_VA_P_ToE,0,COLUMN())</f>
        <v>147.62034262948205</v>
      </c>
      <c r="BF83" s="200"/>
      <c r="BG83" s="200"/>
      <c r="BH83" s="794"/>
      <c r="BI83" s="200"/>
      <c r="BJ83" s="1113">
        <f ca="1">INDEX(MO_VA_P_ToE,0,COLUMN())</f>
        <v>12.160256432991533</v>
      </c>
      <c r="BK83" s="200"/>
      <c r="BL83" s="200"/>
      <c r="BM83" s="200"/>
      <c r="BN83" s="200"/>
      <c r="BO83" s="1113">
        <f ca="1">INDEX(MO_VA_P_ToE,0,COLUMN())</f>
        <v>10.044964283346177</v>
      </c>
      <c r="BP83" s="1113">
        <f ca="1">INDEX(MO_VA_P_ToE,0,COLUMN())</f>
        <v>9.3576856498036491</v>
      </c>
      <c r="BQ83" s="1113">
        <f ca="1">INDEX(MO_VA_P_ToE,0,COLUMN())</f>
        <v>9.1295087118576106</v>
      </c>
      <c r="BR83" s="1113">
        <f ca="1">INDEX(MO_VA_P_ToE,0,COLUMN())</f>
        <v>8.8799508076254021</v>
      </c>
      <c r="BS83" s="200"/>
    </row>
    <row r="84" spans="1:71" s="68" customFormat="1" ht="15">
      <c r="A84" s="288" t="str">
        <f>INDEX(MO_VA_P_ToB,0,COLUMN())</f>
        <v>P/B - EoP</v>
      </c>
      <c r="B84" s="289"/>
      <c r="C84" s="1113">
        <f>INDEX(MO_VA_P_ToB,0,COLUMN())</f>
        <v>0.99004847248784034</v>
      </c>
      <c r="D84" s="1113">
        <f>INDEX(MO_VA_P_ToB,0,COLUMN())</f>
        <v>0.91964979273175895</v>
      </c>
      <c r="E84" s="1113">
        <f>INDEX(MO_VA_P_ToB,0,COLUMN())</f>
        <v>0.7576772385630679</v>
      </c>
      <c r="F84" s="1113">
        <f>INDEX(MO_VA_P_ToB,0,COLUMN())</f>
        <v>0.94033188431162418</v>
      </c>
      <c r="G84" s="1113">
        <f>INDEX(MO_VA_P_ToB,0,COLUMN())</f>
        <v>1.196989722045434</v>
      </c>
      <c r="H84" s="199"/>
      <c r="I84" s="199"/>
      <c r="J84" s="199"/>
      <c r="K84" s="199"/>
      <c r="L84" s="1113">
        <f>INDEX(MO_VA_P_ToB,0,COLUMN())</f>
        <v>1.4706989053928459</v>
      </c>
      <c r="M84" s="199"/>
      <c r="N84" s="199"/>
      <c r="O84" s="199"/>
      <c r="P84" s="199"/>
      <c r="Q84" s="1113">
        <f>INDEX(MO_VA_P_ToB,0,COLUMN())</f>
        <v>1.3267104970470922</v>
      </c>
      <c r="R84" s="199"/>
      <c r="S84" s="200"/>
      <c r="T84" s="200"/>
      <c r="U84" s="199"/>
      <c r="V84" s="1113">
        <f>INDEX(MO_VA_P_ToB,0,COLUMN())</f>
        <v>1.4598022034977665</v>
      </c>
      <c r="W84" s="200"/>
      <c r="X84" s="200"/>
      <c r="Y84" s="200"/>
      <c r="Z84" s="199"/>
      <c r="AA84" s="1113">
        <f>INDEX(MO_VA_P_ToB,0,COLUMN())</f>
        <v>1.8183957359479608</v>
      </c>
      <c r="AB84" s="200"/>
      <c r="AC84" s="200"/>
      <c r="AD84" s="200"/>
      <c r="AE84" s="199"/>
      <c r="AF84" s="1113">
        <f>INDEX(MO_VA_P_ToB,0,COLUMN())</f>
        <v>1.4248340620740547</v>
      </c>
      <c r="AG84" s="200"/>
      <c r="AH84" s="200"/>
      <c r="AI84" s="200"/>
      <c r="AJ84" s="199"/>
      <c r="AK84" s="1113">
        <f>INDEX(MO_VA_P_ToB,0,COLUMN())</f>
        <v>1.5285429932837786</v>
      </c>
      <c r="AL84" s="200"/>
      <c r="AM84" s="200"/>
      <c r="AN84" s="200"/>
      <c r="AO84" s="200"/>
      <c r="AP84" s="1113">
        <f>INDEX(MO_VA_P_ToB,0,COLUMN())</f>
        <v>1.1819274667670465</v>
      </c>
      <c r="AQ84" s="200"/>
      <c r="AR84" s="200"/>
      <c r="AS84" s="200"/>
      <c r="AT84" s="200"/>
      <c r="AU84" s="1113">
        <f>INDEX(MO_VA_P_ToB,0,COLUMN())</f>
        <v>1.4435562100462116</v>
      </c>
      <c r="AV84" s="200"/>
      <c r="AW84" s="200"/>
      <c r="AX84" s="200"/>
      <c r="AY84" s="200"/>
      <c r="AZ84" s="1113">
        <f>INDEX(MO_VA_P_ToB,0,COLUMN())</f>
        <v>2.3350661096650023</v>
      </c>
      <c r="BA84" s="200"/>
      <c r="BB84" s="200"/>
      <c r="BC84" s="200"/>
      <c r="BD84" s="200"/>
      <c r="BE84" s="1113">
        <f>INDEX(MO_VA_P_ToB,0,COLUMN())</f>
        <v>2.3568197090336183</v>
      </c>
      <c r="BF84" s="200"/>
      <c r="BG84" s="200"/>
      <c r="BH84" s="794"/>
      <c r="BI84" s="200"/>
      <c r="BJ84" s="1113">
        <f ca="1">INDEX(MO_VA_P_ToB,0,COLUMN())</f>
        <v>2.5069426334343294</v>
      </c>
      <c r="BK84" s="200"/>
      <c r="BL84" s="200"/>
      <c r="BM84" s="200"/>
      <c r="BN84" s="200"/>
      <c r="BO84" s="1113">
        <f ca="1">INDEX(MO_VA_P_ToB,0,COLUMN())</f>
        <v>2.0681003714943205</v>
      </c>
      <c r="BP84" s="1113">
        <f ca="1">INDEX(MO_VA_P_ToB,0,COLUMN())</f>
        <v>1.7375379983411388</v>
      </c>
      <c r="BQ84" s="1113">
        <f ca="1">INDEX(MO_VA_P_ToB,0,COLUMN())</f>
        <v>1.4920489075989953</v>
      </c>
      <c r="BR84" s="1113">
        <f ca="1">INDEX(MO_VA_P_ToB,0,COLUMN())</f>
        <v>1.3020417601787309</v>
      </c>
      <c r="BS84" s="200"/>
    </row>
    <row r="85" spans="1:71" s="69" customFormat="1" ht="15">
      <c r="A85" s="287"/>
      <c r="B85" s="280"/>
      <c r="C85" s="1112"/>
      <c r="D85" s="1112"/>
      <c r="E85" s="1112"/>
      <c r="F85" s="1112"/>
      <c r="G85" s="1112"/>
      <c r="H85" s="197"/>
      <c r="I85" s="197"/>
      <c r="J85" s="197"/>
      <c r="K85" s="197"/>
      <c r="L85" s="1112"/>
      <c r="M85" s="197"/>
      <c r="N85" s="197"/>
      <c r="O85" s="197"/>
      <c r="P85" s="197"/>
      <c r="Q85" s="1112"/>
      <c r="R85" s="197"/>
      <c r="S85" s="197"/>
      <c r="T85" s="197"/>
      <c r="U85" s="197"/>
      <c r="V85" s="1112"/>
      <c r="W85" s="197"/>
      <c r="X85" s="197"/>
      <c r="Y85" s="197"/>
      <c r="Z85" s="197"/>
      <c r="AA85" s="1112"/>
      <c r="AB85" s="197"/>
      <c r="AC85" s="197"/>
      <c r="AD85" s="197"/>
      <c r="AE85" s="197"/>
      <c r="AF85" s="1112"/>
      <c r="AG85" s="197"/>
      <c r="AH85" s="197"/>
      <c r="AI85" s="197"/>
      <c r="AJ85" s="197"/>
      <c r="AK85" s="1112"/>
      <c r="AL85" s="197"/>
      <c r="AM85" s="197"/>
      <c r="AN85" s="197"/>
      <c r="AO85" s="197"/>
      <c r="AP85" s="1112"/>
      <c r="AQ85" s="197"/>
      <c r="AR85" s="197"/>
      <c r="AS85" s="197"/>
      <c r="AT85" s="197"/>
      <c r="AU85" s="1112"/>
      <c r="AV85" s="197"/>
      <c r="AW85" s="197"/>
      <c r="AX85" s="197"/>
      <c r="AY85" s="197"/>
      <c r="AZ85" s="1112"/>
      <c r="BA85" s="197"/>
      <c r="BB85" s="197"/>
      <c r="BC85" s="197"/>
      <c r="BD85" s="197"/>
      <c r="BE85" s="1112"/>
      <c r="BF85" s="197"/>
      <c r="BG85" s="197"/>
      <c r="BH85" s="793"/>
      <c r="BI85" s="197"/>
      <c r="BJ85" s="1112"/>
      <c r="BK85" s="197"/>
      <c r="BL85" s="197"/>
      <c r="BM85" s="197"/>
      <c r="BN85" s="197"/>
      <c r="BO85" s="1112"/>
      <c r="BP85" s="1112"/>
      <c r="BQ85" s="1112"/>
      <c r="BR85" s="1112"/>
      <c r="BS85" s="181"/>
    </row>
    <row r="86" spans="1:71" ht="15">
      <c r="A86" s="167" t="s">
        <v>269</v>
      </c>
      <c r="B86" s="826"/>
      <c r="C86" s="874"/>
      <c r="D86" s="874"/>
      <c r="E86" s="874"/>
      <c r="F86" s="874"/>
      <c r="G86" s="874"/>
      <c r="H86" s="874"/>
      <c r="I86" s="874"/>
      <c r="J86" s="874"/>
      <c r="K86" s="874"/>
      <c r="L86" s="874"/>
      <c r="M86" s="874"/>
      <c r="N86" s="874"/>
      <c r="O86" s="874"/>
      <c r="P86" s="874"/>
      <c r="Q86" s="874"/>
      <c r="R86" s="874"/>
      <c r="S86" s="874"/>
      <c r="T86" s="874"/>
      <c r="U86" s="874"/>
      <c r="V86" s="874"/>
      <c r="W86" s="874"/>
      <c r="X86" s="874"/>
      <c r="Y86" s="874"/>
      <c r="Z86" s="874"/>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c r="BC86" s="874"/>
      <c r="BD86" s="874"/>
      <c r="BE86" s="874"/>
      <c r="BF86" s="874"/>
      <c r="BG86" s="874"/>
      <c r="BH86" s="875"/>
      <c r="BI86" s="874"/>
      <c r="BJ86" s="874"/>
      <c r="BK86" s="874"/>
      <c r="BL86" s="874"/>
      <c r="BM86" s="874"/>
      <c r="BN86" s="874"/>
      <c r="BO86" s="874"/>
      <c r="BP86" s="874"/>
      <c r="BQ86" s="874"/>
      <c r="BR86" s="874"/>
      <c r="BS86" s="181"/>
    </row>
    <row r="87" spans="1:71" ht="15" hidden="1" outlineLevel="1">
      <c r="A87" s="828" t="s">
        <v>270</v>
      </c>
      <c r="B87" s="290"/>
      <c r="C87" s="868">
        <f t="shared" si="146" ref="C87:AZ87">ROUND(INDEX(SP_GF_NI,0,COLUMN())-INDEX(MO_RIS_NI_GAAP_Basic,0,COLUMN()),6)</f>
        <v>0</v>
      </c>
      <c r="D87" s="868">
        <f t="shared" si="146"/>
        <v>0</v>
      </c>
      <c r="E87" s="868">
        <f t="shared" si="146"/>
        <v>0</v>
      </c>
      <c r="F87" s="868">
        <f t="shared" si="146"/>
        <v>0</v>
      </c>
      <c r="G87" s="868">
        <f t="shared" si="146"/>
        <v>0</v>
      </c>
      <c r="H87" s="868">
        <f t="shared" si="146"/>
        <v>0</v>
      </c>
      <c r="I87" s="868">
        <f t="shared" si="146"/>
        <v>0</v>
      </c>
      <c r="J87" s="868">
        <f t="shared" si="146"/>
        <v>0</v>
      </c>
      <c r="K87" s="868">
        <f t="shared" si="146"/>
        <v>0</v>
      </c>
      <c r="L87" s="868">
        <f t="shared" si="146"/>
        <v>0</v>
      </c>
      <c r="M87" s="868">
        <f t="shared" si="146"/>
        <v>0</v>
      </c>
      <c r="N87" s="868">
        <f t="shared" si="146"/>
        <v>0</v>
      </c>
      <c r="O87" s="868">
        <f t="shared" si="146"/>
        <v>0</v>
      </c>
      <c r="P87" s="868">
        <f t="shared" si="146"/>
        <v>0</v>
      </c>
      <c r="Q87" s="868">
        <f t="shared" si="146"/>
        <v>0</v>
      </c>
      <c r="R87" s="868">
        <f t="shared" si="146"/>
        <v>0</v>
      </c>
      <c r="S87" s="868">
        <f t="shared" si="146"/>
        <v>0</v>
      </c>
      <c r="T87" s="868">
        <f t="shared" si="146"/>
        <v>0</v>
      </c>
      <c r="U87" s="868">
        <f t="shared" si="146"/>
        <v>0</v>
      </c>
      <c r="V87" s="868">
        <f t="shared" si="146"/>
        <v>0</v>
      </c>
      <c r="W87" s="868">
        <f t="shared" si="146"/>
        <v>0</v>
      </c>
      <c r="X87" s="868">
        <f t="shared" si="146"/>
        <v>0</v>
      </c>
      <c r="Y87" s="868">
        <f t="shared" si="146"/>
        <v>0</v>
      </c>
      <c r="Z87" s="868">
        <f t="shared" si="146"/>
        <v>0</v>
      </c>
      <c r="AA87" s="868">
        <f t="shared" si="146"/>
        <v>0</v>
      </c>
      <c r="AB87" s="868">
        <f t="shared" si="146"/>
        <v>0</v>
      </c>
      <c r="AC87" s="868">
        <f t="shared" si="146"/>
        <v>0</v>
      </c>
      <c r="AD87" s="868">
        <f t="shared" si="146"/>
        <v>0</v>
      </c>
      <c r="AE87" s="868">
        <f t="shared" si="146"/>
        <v>0</v>
      </c>
      <c r="AF87" s="868">
        <f t="shared" si="146"/>
        <v>0</v>
      </c>
      <c r="AG87" s="868">
        <f t="shared" si="146"/>
        <v>0</v>
      </c>
      <c r="AH87" s="868">
        <f t="shared" si="146"/>
        <v>0</v>
      </c>
      <c r="AI87" s="868">
        <f t="shared" si="146"/>
        <v>0</v>
      </c>
      <c r="AJ87" s="868">
        <f t="shared" si="146"/>
        <v>0</v>
      </c>
      <c r="AK87" s="868">
        <f t="shared" si="146"/>
        <v>0</v>
      </c>
      <c r="AL87" s="868">
        <f>ROUND(INDEX(SP_GF_NI,0,COLUMN())-INDEX(MO_RIS_NI_GAAP_Basic,0,COLUMN()),6)</f>
        <v>0</v>
      </c>
      <c r="AM87" s="868">
        <f>ROUND(INDEX(SP_GF_NI,0,COLUMN())-INDEX(MO_RIS_NI_GAAP_Basic,0,COLUMN()),6)</f>
        <v>0</v>
      </c>
      <c r="AN87" s="868">
        <f>ROUND(INDEX(SP_GF_NI,0,COLUMN())-INDEX(MO_RIS_NI_GAAP_Basic,0,COLUMN()),6)</f>
        <v>0</v>
      </c>
      <c r="AO87" s="868">
        <f t="shared" si="146"/>
        <v>0</v>
      </c>
      <c r="AP87" s="868">
        <f t="shared" si="146"/>
        <v>0</v>
      </c>
      <c r="AQ87" s="868">
        <f>ROUND(INDEX(SP_GF_NI,0,COLUMN())-INDEX(MO_RIS_NI_GAAP_Basic,0,COLUMN()),6)</f>
        <v>0</v>
      </c>
      <c r="AR87" s="868">
        <f>ROUND(INDEX(SP_GF_NI,0,COLUMN())-INDEX(MO_RIS_NI_GAAP_Basic,0,COLUMN()),6)</f>
        <v>0</v>
      </c>
      <c r="AS87" s="868">
        <f>ROUND(INDEX(SP_GF_NI,0,COLUMN())-INDEX(MO_RIS_NI_GAAP_Basic,0,COLUMN()),6)</f>
        <v>0</v>
      </c>
      <c r="AT87" s="868">
        <f t="shared" si="146"/>
        <v>0</v>
      </c>
      <c r="AU87" s="868">
        <f t="shared" si="146"/>
        <v>0</v>
      </c>
      <c r="AV87" s="868">
        <f>ROUND(INDEX(SP_GF_NI,0,COLUMN())-INDEX(MO_RIS_NI_GAAP_Basic,0,COLUMN()),6)</f>
        <v>0</v>
      </c>
      <c r="AW87" s="868">
        <f>ROUND(INDEX(SP_GF_NI,0,COLUMN())-INDEX(MO_RIS_NI_GAAP_Basic,0,COLUMN()),6)</f>
        <v>0</v>
      </c>
      <c r="AX87" s="868">
        <f>ROUND(INDEX(SP_GF_NI,0,COLUMN())-INDEX(MO_RIS_NI_GAAP_Basic,0,COLUMN()),6)</f>
        <v>0</v>
      </c>
      <c r="AY87" s="868">
        <f t="shared" si="146"/>
        <v>0</v>
      </c>
      <c r="AZ87" s="868">
        <f t="shared" si="146"/>
        <v>0</v>
      </c>
      <c r="BA87" s="868">
        <f>ROUND(INDEX(SP_GF_NI,0,COLUMN())-INDEX(MO_RIS_NI_GAAP_Basic,0,COLUMN()),6)</f>
        <v>0</v>
      </c>
      <c r="BB87" s="868">
        <f>ROUND(INDEX(SP_GF_NI,0,COLUMN())-INDEX(MO_RIS_NI_GAAP_Basic,0,COLUMN()),6)</f>
        <v>0</v>
      </c>
      <c r="BC87" s="868">
        <f>ROUND(INDEX(SP_GF_NI,0,COLUMN())-INDEX(MO_RIS_NI_GAAP_Basic,0,COLUMN()),6)</f>
        <v>0</v>
      </c>
      <c r="BD87" s="868">
        <f>ROUND(INDEX(SP_GF_NI,0,COLUMN())-INDEX(MO_RIS_NI_GAAP_Basic,0,COLUMN()),6)</f>
        <v>0</v>
      </c>
      <c r="BE87" s="868">
        <f>ROUND(INDEX(SP_GF_NI,0,COLUMN())-INDEX(MO_RIS_NI_GAAP_Basic,0,COLUMN()),6)</f>
        <v>0</v>
      </c>
      <c r="BF87" s="868">
        <f t="shared" si="147" ref="BF87:BJ87">ROUND(INDEX(SP_GF_NI,0,COLUMN())-INDEX(MO_RIS_NI_GAAP_Basic,0,COLUMN()),6)</f>
        <v>0</v>
      </c>
      <c r="BG87" s="868">
        <f t="shared" si="147"/>
        <v>0</v>
      </c>
      <c r="BH87" s="869">
        <f>ROUND(INDEX(SP_GF_NI,0,COLUMN())-INDEX(MO_RIS_NI_GAAP_Basic,0,COLUMN()),6)</f>
        <v>0</v>
      </c>
      <c r="BI87" s="868">
        <f t="shared" si="147"/>
        <v>0</v>
      </c>
      <c r="BJ87" s="868">
        <f t="shared" si="147"/>
        <v>0</v>
      </c>
      <c r="BK87" s="868">
        <f t="shared" si="148" ref="BK87:BR87">ROUND(INDEX(SP_GF_NI,0,COLUMN())-INDEX(MO_RIS_NI_GAAP_Basic,0,COLUMN()),6)</f>
        <v>0</v>
      </c>
      <c r="BL87" s="868">
        <f t="shared" si="148"/>
        <v>0</v>
      </c>
      <c r="BM87" s="868">
        <f t="shared" si="148"/>
        <v>0</v>
      </c>
      <c r="BN87" s="868">
        <f t="shared" si="148"/>
        <v>0</v>
      </c>
      <c r="BO87" s="868">
        <f t="shared" si="148"/>
        <v>0</v>
      </c>
      <c r="BP87" s="868">
        <f t="shared" si="148"/>
        <v>0</v>
      </c>
      <c r="BQ87" s="868">
        <f t="shared" si="148"/>
        <v>0</v>
      </c>
      <c r="BR87" s="868">
        <f t="shared" si="148"/>
        <v>0</v>
      </c>
      <c r="BS87" s="181"/>
    </row>
    <row r="88" spans="1:71" ht="15" hidden="1" outlineLevel="1">
      <c r="A88" s="828" t="s">
        <v>271</v>
      </c>
      <c r="B88" s="290"/>
      <c r="C88" s="868">
        <f t="shared" si="149" ref="C88:AZ88">ROUND(INDEX(SP_UI_UI,0,COLUMN())-INDEX(MO_UI_UI,0,COLUMN()),5)</f>
        <v>0</v>
      </c>
      <c r="D88" s="868">
        <f t="shared" si="149"/>
        <v>0</v>
      </c>
      <c r="E88" s="868">
        <f t="shared" si="149"/>
        <v>0</v>
      </c>
      <c r="F88" s="868">
        <f t="shared" si="149"/>
        <v>0</v>
      </c>
      <c r="G88" s="868">
        <f t="shared" si="149"/>
        <v>0</v>
      </c>
      <c r="H88" s="868">
        <f t="shared" si="149"/>
        <v>0</v>
      </c>
      <c r="I88" s="868">
        <f t="shared" si="149"/>
        <v>0</v>
      </c>
      <c r="J88" s="868">
        <f t="shared" si="149"/>
        <v>0</v>
      </c>
      <c r="K88" s="868">
        <f t="shared" si="149"/>
        <v>0</v>
      </c>
      <c r="L88" s="868">
        <f t="shared" si="149"/>
        <v>0</v>
      </c>
      <c r="M88" s="868">
        <f t="shared" si="149"/>
        <v>0</v>
      </c>
      <c r="N88" s="868">
        <f t="shared" si="149"/>
        <v>0</v>
      </c>
      <c r="O88" s="868">
        <f t="shared" si="149"/>
        <v>0</v>
      </c>
      <c r="P88" s="868">
        <f t="shared" si="149"/>
        <v>0</v>
      </c>
      <c r="Q88" s="868">
        <f t="shared" si="149"/>
        <v>0</v>
      </c>
      <c r="R88" s="868">
        <f t="shared" si="149"/>
        <v>0</v>
      </c>
      <c r="S88" s="868">
        <f t="shared" si="149"/>
        <v>0</v>
      </c>
      <c r="T88" s="868">
        <f t="shared" si="149"/>
        <v>0</v>
      </c>
      <c r="U88" s="868">
        <f t="shared" si="149"/>
        <v>0</v>
      </c>
      <c r="V88" s="868">
        <f t="shared" si="149"/>
        <v>0</v>
      </c>
      <c r="W88" s="868">
        <f t="shared" si="149"/>
        <v>0</v>
      </c>
      <c r="X88" s="868">
        <f t="shared" si="149"/>
        <v>0</v>
      </c>
      <c r="Y88" s="868">
        <f t="shared" si="149"/>
        <v>0</v>
      </c>
      <c r="Z88" s="868">
        <f t="shared" si="149"/>
        <v>0</v>
      </c>
      <c r="AA88" s="868">
        <f t="shared" si="149"/>
        <v>0</v>
      </c>
      <c r="AB88" s="868">
        <f t="shared" si="149"/>
        <v>0</v>
      </c>
      <c r="AC88" s="868">
        <f t="shared" si="149"/>
        <v>0</v>
      </c>
      <c r="AD88" s="868">
        <f t="shared" si="149"/>
        <v>0</v>
      </c>
      <c r="AE88" s="868">
        <f t="shared" si="149"/>
        <v>0</v>
      </c>
      <c r="AF88" s="868">
        <f t="shared" si="149"/>
        <v>0</v>
      </c>
      <c r="AG88" s="868">
        <f t="shared" si="149"/>
        <v>0</v>
      </c>
      <c r="AH88" s="868">
        <f t="shared" si="149"/>
        <v>0</v>
      </c>
      <c r="AI88" s="868">
        <f t="shared" si="149"/>
        <v>0</v>
      </c>
      <c r="AJ88" s="868">
        <f t="shared" si="149"/>
        <v>0</v>
      </c>
      <c r="AK88" s="868">
        <f t="shared" si="149"/>
        <v>0</v>
      </c>
      <c r="AL88" s="868">
        <f>ROUND(INDEX(SP_UI_UI,0,COLUMN())-INDEX(MO_UI_UI,0,COLUMN()),5)</f>
        <v>0</v>
      </c>
      <c r="AM88" s="868">
        <f>ROUND(INDEX(SP_UI_UI,0,COLUMN())-INDEX(MO_UI_UI,0,COLUMN()),5)</f>
        <v>0</v>
      </c>
      <c r="AN88" s="868">
        <f>ROUND(INDEX(SP_UI_UI,0,COLUMN())-INDEX(MO_UI_UI,0,COLUMN()),5)</f>
        <v>0</v>
      </c>
      <c r="AO88" s="868">
        <f t="shared" si="149"/>
        <v>0</v>
      </c>
      <c r="AP88" s="868">
        <f t="shared" si="149"/>
        <v>0</v>
      </c>
      <c r="AQ88" s="868">
        <f>ROUND(INDEX(SP_UI_UI,0,COLUMN())-INDEX(MO_UI_UI,0,COLUMN()),5)</f>
        <v>0</v>
      </c>
      <c r="AR88" s="868">
        <f>ROUND(INDEX(SP_UI_UI,0,COLUMN())-INDEX(MO_UI_UI,0,COLUMN()),5)</f>
        <v>0</v>
      </c>
      <c r="AS88" s="868">
        <f>ROUND(INDEX(SP_UI_UI,0,COLUMN())-INDEX(MO_UI_UI,0,COLUMN()),5)</f>
        <v>0</v>
      </c>
      <c r="AT88" s="868">
        <f t="shared" si="149"/>
        <v>0</v>
      </c>
      <c r="AU88" s="868">
        <f t="shared" si="149"/>
        <v>0</v>
      </c>
      <c r="AV88" s="868">
        <f>ROUND(INDEX(SP_UI_UI,0,COLUMN())-INDEX(MO_UI_UI,0,COLUMN()),5)</f>
        <v>0</v>
      </c>
      <c r="AW88" s="868">
        <f>ROUND(INDEX(SP_UI_UI,0,COLUMN())-INDEX(MO_UI_UI,0,COLUMN()),5)</f>
        <v>0</v>
      </c>
      <c r="AX88" s="868">
        <f>ROUND(INDEX(SP_UI_UI,0,COLUMN())-INDEX(MO_UI_UI,0,COLUMN()),5)</f>
        <v>0</v>
      </c>
      <c r="AY88" s="868">
        <f t="shared" si="149"/>
        <v>0</v>
      </c>
      <c r="AZ88" s="868">
        <f t="shared" si="149"/>
        <v>0</v>
      </c>
      <c r="BA88" s="868">
        <f>ROUND(INDEX(SP_UI_UI,0,COLUMN())-INDEX(MO_UI_UI,0,COLUMN()),5)</f>
        <v>0</v>
      </c>
      <c r="BB88" s="868">
        <f>ROUND(INDEX(SP_UI_UI,0,COLUMN())-INDEX(MO_UI_UI,0,COLUMN()),5)</f>
        <v>0</v>
      </c>
      <c r="BC88" s="868">
        <f>ROUND(INDEX(SP_UI_UI,0,COLUMN())-INDEX(MO_UI_UI,0,COLUMN()),5)</f>
        <v>0</v>
      </c>
      <c r="BD88" s="868">
        <f>ROUND(INDEX(SP_UI_UI,0,COLUMN())-INDEX(MO_UI_UI,0,COLUMN()),5)</f>
        <v>0</v>
      </c>
      <c r="BE88" s="868">
        <f>ROUND(INDEX(SP_UI_UI,0,COLUMN())-INDEX(MO_UI_UI,0,COLUMN()),5)</f>
        <v>0</v>
      </c>
      <c r="BF88" s="868">
        <f t="shared" si="150" ref="BF88:BJ88">ROUND(INDEX(SP_UI_UI,0,COLUMN())-INDEX(MO_UI_UI,0,COLUMN()),5)</f>
        <v>0</v>
      </c>
      <c r="BG88" s="868">
        <f t="shared" si="150"/>
        <v>0</v>
      </c>
      <c r="BH88" s="869">
        <f>ROUND(INDEX(SP_UI_UI,0,COLUMN())-INDEX(MO_UI_UI,0,COLUMN()),5)</f>
        <v>0</v>
      </c>
      <c r="BI88" s="868">
        <f t="shared" si="150"/>
        <v>0</v>
      </c>
      <c r="BJ88" s="868">
        <f t="shared" si="150"/>
        <v>0</v>
      </c>
      <c r="BK88" s="868">
        <f t="shared" si="151" ref="BK88:BR88">ROUND(INDEX(SP_UI_UI,0,COLUMN())-INDEX(MO_UI_UI,0,COLUMN()),5)</f>
        <v>0</v>
      </c>
      <c r="BL88" s="868">
        <f t="shared" si="151"/>
        <v>0</v>
      </c>
      <c r="BM88" s="868">
        <f t="shared" si="151"/>
        <v>0</v>
      </c>
      <c r="BN88" s="868">
        <f t="shared" si="151"/>
        <v>0</v>
      </c>
      <c r="BO88" s="868">
        <f t="shared" si="151"/>
        <v>0</v>
      </c>
      <c r="BP88" s="868">
        <f t="shared" si="151"/>
        <v>0</v>
      </c>
      <c r="BQ88" s="868">
        <f t="shared" si="151"/>
        <v>0</v>
      </c>
      <c r="BR88" s="868">
        <f t="shared" si="151"/>
        <v>0</v>
      </c>
      <c r="BS88" s="181"/>
    </row>
    <row r="89" spans="1:71" ht="15" collapsed="1">
      <c r="A89" s="181"/>
      <c r="B89" s="181"/>
      <c r="C89" s="1101"/>
      <c r="D89" s="1101"/>
      <c r="E89" s="1101"/>
      <c r="F89" s="1101"/>
      <c r="G89" s="1101"/>
      <c r="H89" s="181"/>
      <c r="I89" s="181"/>
      <c r="J89" s="181"/>
      <c r="K89" s="181"/>
      <c r="L89" s="1101"/>
      <c r="M89" s="181"/>
      <c r="N89" s="181"/>
      <c r="O89" s="181"/>
      <c r="P89" s="181"/>
      <c r="Q89" s="1101"/>
      <c r="R89" s="181"/>
      <c r="S89" s="181"/>
      <c r="T89" s="181"/>
      <c r="U89" s="181"/>
      <c r="V89" s="1101"/>
      <c r="W89" s="181"/>
      <c r="X89" s="181"/>
      <c r="Y89" s="181"/>
      <c r="Z89" s="181"/>
      <c r="AA89" s="1101"/>
      <c r="AB89" s="181"/>
      <c r="AC89" s="181"/>
      <c r="AD89" s="181"/>
      <c r="AE89" s="181"/>
      <c r="AF89" s="1101"/>
      <c r="AG89" s="181"/>
      <c r="AH89" s="181"/>
      <c r="AI89" s="181"/>
      <c r="AJ89" s="181"/>
      <c r="AK89" s="1101"/>
      <c r="AL89" s="181"/>
      <c r="AM89" s="181"/>
      <c r="AN89" s="181"/>
      <c r="AO89" s="181"/>
      <c r="AP89" s="1101"/>
      <c r="AQ89" s="181"/>
      <c r="AR89" s="181"/>
      <c r="AS89" s="181"/>
      <c r="AT89" s="181"/>
      <c r="AU89" s="1101"/>
      <c r="AV89" s="181"/>
      <c r="AW89" s="181"/>
      <c r="AX89" s="181"/>
      <c r="AY89" s="181"/>
      <c r="AZ89" s="1101"/>
      <c r="BA89" s="181"/>
      <c r="BB89" s="181"/>
      <c r="BC89" s="181"/>
      <c r="BD89" s="181"/>
      <c r="BE89" s="1101"/>
      <c r="BF89" s="181"/>
      <c r="BG89" s="181"/>
      <c r="BH89" s="781"/>
      <c r="BI89" s="181"/>
      <c r="BJ89" s="1101"/>
      <c r="BK89" s="181"/>
      <c r="BL89" s="181"/>
      <c r="BM89" s="181"/>
      <c r="BN89" s="181"/>
      <c r="BO89" s="1101"/>
      <c r="BP89" s="1101"/>
      <c r="BQ89" s="1101"/>
      <c r="BR89" s="1101"/>
      <c r="BS89" s="181"/>
    </row>
    <row r="90" spans="1:71" ht="15">
      <c r="A90" s="439" t="s">
        <v>970</v>
      </c>
      <c r="B90" s="169"/>
      <c r="C90" s="169"/>
      <c r="D90" s="169"/>
      <c r="E90" s="169"/>
      <c r="F90" s="169"/>
      <c r="G90" s="169"/>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81"/>
    </row>
    <row r="91" spans="1:71" ht="15" collapsed="1">
      <c r="A91" s="175"/>
      <c r="B91" s="181"/>
      <c r="C91" s="181"/>
      <c r="D91" s="181"/>
      <c r="E91" s="181"/>
      <c r="F91" s="181"/>
      <c r="G91" s="181"/>
      <c r="H91" s="181"/>
      <c r="I91" s="181"/>
      <c r="J91" s="181"/>
      <c r="K91" s="181"/>
      <c r="L91" s="181"/>
      <c r="M91" s="181"/>
      <c r="N91" s="181"/>
      <c r="O91" s="181"/>
      <c r="P91" s="181"/>
      <c r="Q91" s="181"/>
      <c r="R91" s="181"/>
      <c r="S91" s="181"/>
      <c r="T91" s="181"/>
      <c r="U91" s="181"/>
      <c r="V91" s="181"/>
      <c r="W91" s="181"/>
      <c r="X91" s="181"/>
      <c r="Y91" s="181"/>
      <c r="Z91" s="181"/>
      <c r="AA91" s="181"/>
      <c r="AB91" s="181"/>
      <c r="AC91" s="181"/>
      <c r="AD91" s="181"/>
      <c r="AE91" s="181"/>
      <c r="AF91" s="181"/>
      <c r="AG91" s="181"/>
      <c r="AH91" s="181"/>
      <c r="AI91" s="181"/>
      <c r="AJ91" s="181"/>
      <c r="AK91" s="181"/>
      <c r="AL91" s="181"/>
      <c r="AM91" s="181"/>
      <c r="AN91" s="181"/>
      <c r="AO91" s="181"/>
      <c r="AP91" s="181"/>
      <c r="AQ91" s="181"/>
      <c r="AR91" s="181"/>
      <c r="AS91" s="181"/>
      <c r="AT91" s="181"/>
      <c r="AU91" s="181"/>
      <c r="AV91" s="181"/>
      <c r="AW91" s="181"/>
      <c r="AX91" s="181"/>
      <c r="AY91" s="181"/>
      <c r="AZ91" s="181"/>
      <c r="BA91" s="181"/>
      <c r="BB91" s="181"/>
      <c r="BC91" s="181"/>
      <c r="BD91" s="181"/>
      <c r="BE91" s="181"/>
      <c r="BF91" s="181"/>
      <c r="BG91" s="181"/>
      <c r="BH91" s="181"/>
      <c r="BI91" s="181"/>
      <c r="BJ91" s="181"/>
      <c r="BK91" s="181"/>
      <c r="BL91" s="181"/>
      <c r="BM91" s="181"/>
      <c r="BN91" s="181"/>
      <c r="BO91" s="181"/>
      <c r="BP91" s="181"/>
      <c r="BQ91" s="181"/>
      <c r="BR91" s="181"/>
      <c r="BS91" s="181"/>
    </row>
  </sheetData>
  <conditionalFormatting sqref="C87:BR88">
    <cfRule type="cellIs" priority="133" dxfId="9" operator="equal">
      <formula>0</formula>
    </cfRule>
  </conditionalFormatting>
  <conditionalFormatting sqref="C87:BR88">
    <cfRule type="cellIs" priority="132" dxfId="8" operator="notEqual">
      <formula>0</formula>
    </cfRule>
  </conditionalFormatting>
  <dataValidations count="1">
    <dataValidation type="list" allowBlank="1" showInputMessage="1" showErrorMessage="1" sqref="B4">
      <formula1>OFFSET(tb_ValuationToggle,1,0,4,1)</formula1>
    </dataValidation>
  </dataValidations>
  <pageMargins left="0.7" right="0.7" top="0.75" bottom="0.75" header="0.3" footer="0.3"/>
  <pageSetup orientation="portrait" paperSize="1" scale="36"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C4B2D8E-375E-4801-A019-75F5D7C19EBA}">
  <sheetPr codeName="Sheet41"/>
  <dimension ref="A1:J72"/>
  <sheetViews>
    <sheetView showGridLines="0" workbookViewId="0" topLeftCell="A1"/>
  </sheetViews>
  <sheetFormatPr defaultColWidth="8.854285714285714" defaultRowHeight="15"/>
  <cols>
    <col min="1" max="1" width="4.428571428571429" style="15" customWidth="1"/>
    <col min="2" max="2" width="9.857142857142858" style="15" customWidth="1"/>
    <col min="3" max="3" width="15.714285714285714" style="15" customWidth="1"/>
    <col min="4" max="4" width="20.714285714285715" style="15" customWidth="1"/>
    <col min="5" max="5" width="30.714285714285715" style="15" customWidth="1"/>
    <col min="6" max="6" width="20.714285714285715" style="15"/>
    <col min="7" max="7" width="23.714285714285715" style="15" customWidth="1"/>
    <col min="8" max="8" width="45.714285714285715" style="15" customWidth="1"/>
    <col min="9" max="9" width="7.857142857142857" style="15" customWidth="1"/>
    <col min="10" max="10" width="8.857142857142858" style="15" customWidth="1"/>
    <col min="11" max="16384" width="8.857142857142858" style="15"/>
  </cols>
  <sheetData>
    <row r="1" spans="1:10" ht="15">
      <c r="A1" s="683"/>
      <c r="B1" s="683"/>
      <c r="C1" s="683"/>
      <c r="D1" s="683"/>
      <c r="E1" s="683"/>
      <c r="F1" s="683"/>
      <c r="G1" s="683"/>
      <c r="H1" s="683"/>
      <c r="I1" s="683"/>
      <c r="J1" s="683"/>
    </row>
    <row r="2" spans="1:10" ht="15">
      <c r="A2" s="683"/>
      <c r="B2" s="683"/>
      <c r="C2" s="683"/>
      <c r="D2" s="683"/>
      <c r="E2" s="683"/>
      <c r="F2" s="683"/>
      <c r="G2" s="683"/>
      <c r="H2" s="683"/>
      <c r="I2" s="683"/>
      <c r="J2" s="683"/>
    </row>
    <row r="3" spans="1:10" ht="15">
      <c r="A3" s="683"/>
      <c r="B3" s="683"/>
      <c r="C3" s="683"/>
      <c r="D3" s="683"/>
      <c r="E3" s="683"/>
      <c r="F3" s="683"/>
      <c r="G3" s="683"/>
      <c r="H3" s="683"/>
      <c r="I3" s="683"/>
      <c r="J3" s="683"/>
    </row>
    <row r="4" spans="1:10" ht="15">
      <c r="A4" s="683"/>
      <c r="B4" s="683"/>
      <c r="C4" s="683"/>
      <c r="D4" s="683"/>
      <c r="E4" s="683"/>
      <c r="F4" s="683"/>
      <c r="G4" s="683"/>
      <c r="H4" s="683"/>
      <c r="I4" s="683"/>
      <c r="J4" s="683"/>
    </row>
    <row r="5" spans="1:10" ht="15">
      <c r="A5" s="683"/>
      <c r="B5" s="683"/>
      <c r="C5" s="683"/>
      <c r="D5" s="683"/>
      <c r="E5" s="683"/>
      <c r="F5" s="683"/>
      <c r="G5" s="683"/>
      <c r="H5" s="683"/>
      <c r="I5" s="683"/>
      <c r="J5" s="683"/>
    </row>
    <row r="6" spans="1:10" ht="15">
      <c r="A6" s="683"/>
      <c r="B6" s="683"/>
      <c r="C6" s="683"/>
      <c r="D6" s="683"/>
      <c r="E6" s="683"/>
      <c r="F6" s="683"/>
      <c r="G6" s="683"/>
      <c r="H6" s="683"/>
      <c r="I6" s="683"/>
      <c r="J6" s="683"/>
    </row>
    <row r="7" spans="1:10" ht="18.75">
      <c r="A7" s="683"/>
      <c r="B7" s="683"/>
      <c r="C7" s="683"/>
      <c r="D7" s="683"/>
      <c r="E7" s="698">
        <f>MO.MRFPColumnNumber</f>
        <v>60</v>
      </c>
      <c r="F7" s="689" t="str">
        <f>MO.MRFP</f>
        <v>Q3-2024</v>
      </c>
      <c r="G7" s="689"/>
      <c r="H7" s="699" t="str">
        <f>AA.CSIN</f>
        <v>GKCC7G0131</v>
      </c>
      <c r="I7" s="685"/>
      <c r="J7" s="684"/>
    </row>
    <row r="8" spans="1:10" ht="15">
      <c r="A8" s="683"/>
      <c r="B8" s="683"/>
      <c r="C8" s="683"/>
      <c r="D8" s="683"/>
      <c r="E8" s="683"/>
      <c r="F8" s="683"/>
      <c r="G8" s="683"/>
      <c r="H8" s="700" t="str">
        <f>+AA.ModelVersion</f>
        <v>Q3-2024.21</v>
      </c>
      <c r="I8" s="683"/>
      <c r="J8" s="683"/>
    </row>
    <row r="9" spans="1:10" ht="15">
      <c r="A9" s="683"/>
      <c r="B9" s="683"/>
      <c r="C9" s="683"/>
      <c r="D9" s="683"/>
      <c r="E9" s="683"/>
      <c r="F9" s="683"/>
      <c r="G9" s="683"/>
      <c r="H9" s="683"/>
      <c r="I9" s="683"/>
      <c r="J9" s="683"/>
    </row>
    <row r="10" spans="1:10" ht="15">
      <c r="A10" s="683"/>
      <c r="B10" s="683"/>
      <c r="C10" s="723" t="s">
        <v>272</v>
      </c>
      <c r="D10" s="723" t="s">
        <v>273</v>
      </c>
      <c r="E10" s="723" t="s">
        <v>274</v>
      </c>
      <c r="F10" s="723" t="s">
        <v>357</v>
      </c>
      <c r="G10" s="723" t="s">
        <v>275</v>
      </c>
      <c r="H10" s="724" t="s">
        <v>276</v>
      </c>
      <c r="I10" s="683"/>
      <c r="J10" s="683"/>
    </row>
    <row r="11" spans="1:10" s="19" customFormat="1" ht="15">
      <c r="A11" s="683"/>
      <c r="B11" s="683"/>
      <c r="C11" s="701">
        <v>45595</v>
      </c>
      <c r="D11" s="702" t="s">
        <v>974</v>
      </c>
      <c r="E11" s="703" t="s">
        <v>358</v>
      </c>
      <c r="F11" s="703" t="s">
        <v>973</v>
      </c>
      <c r="G11" s="704"/>
      <c r="H11" s="816" t="s">
        <v>279</v>
      </c>
      <c r="I11" s="683"/>
      <c r="J11" s="683"/>
    </row>
    <row r="12" spans="1:10" s="19" customFormat="1" ht="15">
      <c r="A12" s="683"/>
      <c r="B12" s="683"/>
      <c r="C12" s="701">
        <v>45504</v>
      </c>
      <c r="D12" s="702" t="s">
        <v>972</v>
      </c>
      <c r="E12" s="703" t="s">
        <v>358</v>
      </c>
      <c r="F12" s="703" t="s">
        <v>971</v>
      </c>
      <c r="G12" s="704"/>
      <c r="H12" s="706" t="s">
        <v>279</v>
      </c>
      <c r="I12" s="683"/>
      <c r="J12" s="683"/>
    </row>
    <row r="13" spans="1:10" s="19" customFormat="1" ht="15">
      <c r="A13" s="683"/>
      <c r="B13" s="683"/>
      <c r="C13" s="701">
        <v>45415</v>
      </c>
      <c r="D13" s="702" t="s">
        <v>967</v>
      </c>
      <c r="E13" s="703" t="s">
        <v>358</v>
      </c>
      <c r="F13" s="703" t="s">
        <v>965</v>
      </c>
      <c r="G13" s="704"/>
      <c r="H13" s="399" t="s">
        <v>279</v>
      </c>
      <c r="I13" s="683"/>
      <c r="J13" s="683"/>
    </row>
    <row r="14" spans="1:10" s="19" customFormat="1" ht="15">
      <c r="A14" s="683"/>
      <c r="B14" s="683"/>
      <c r="C14" s="701">
        <v>45413</v>
      </c>
      <c r="D14" s="702" t="s">
        <v>966</v>
      </c>
      <c r="E14" s="703" t="s">
        <v>656</v>
      </c>
      <c r="F14" s="703" t="s">
        <v>965</v>
      </c>
      <c r="G14" s="704"/>
      <c r="H14" s="399" t="s">
        <v>279</v>
      </c>
      <c r="I14" s="683"/>
      <c r="J14" s="683"/>
    </row>
    <row r="15" spans="1:10" s="19" customFormat="1" ht="15">
      <c r="A15" s="683"/>
      <c r="B15" s="683"/>
      <c r="C15" s="701">
        <v>45345</v>
      </c>
      <c r="D15" s="702" t="s">
        <v>964</v>
      </c>
      <c r="E15" s="703" t="s">
        <v>278</v>
      </c>
      <c r="F15" s="703" t="s">
        <v>962</v>
      </c>
      <c r="G15" s="704"/>
      <c r="H15" s="399" t="s">
        <v>279</v>
      </c>
      <c r="I15" s="683"/>
      <c r="J15" s="683"/>
    </row>
    <row r="16" spans="1:10" s="19" customFormat="1" ht="15">
      <c r="A16" s="683"/>
      <c r="B16" s="683"/>
      <c r="C16" s="701">
        <v>45329</v>
      </c>
      <c r="D16" s="702" t="s">
        <v>907</v>
      </c>
      <c r="E16" s="703" t="s">
        <v>656</v>
      </c>
      <c r="F16" s="703" t="s">
        <v>962</v>
      </c>
      <c r="G16" s="704"/>
      <c r="H16" s="399" t="s">
        <v>279</v>
      </c>
      <c r="I16" s="683"/>
      <c r="J16" s="683"/>
    </row>
    <row r="17" spans="1:10" s="19" customFormat="1" ht="15">
      <c r="A17" s="683"/>
      <c r="B17" s="683"/>
      <c r="C17" s="701">
        <v>45231</v>
      </c>
      <c r="D17" s="702" t="s">
        <v>910</v>
      </c>
      <c r="E17" s="703" t="s">
        <v>358</v>
      </c>
      <c r="F17" s="703" t="s">
        <v>909</v>
      </c>
      <c r="G17" s="704"/>
      <c r="H17" s="399" t="s">
        <v>279</v>
      </c>
      <c r="I17" s="683"/>
      <c r="J17" s="683"/>
    </row>
    <row r="18" spans="1:10" s="19" customFormat="1" ht="15">
      <c r="A18" s="683"/>
      <c r="B18" s="683"/>
      <c r="C18" s="701">
        <v>45139</v>
      </c>
      <c r="D18" s="702" t="s">
        <v>907</v>
      </c>
      <c r="E18" s="703" t="s">
        <v>358</v>
      </c>
      <c r="F18" s="703" t="s">
        <v>906</v>
      </c>
      <c r="G18" s="704"/>
      <c r="H18" s="705" t="s">
        <v>279</v>
      </c>
      <c r="I18" s="683"/>
      <c r="J18" s="683"/>
    </row>
    <row r="19" spans="1:10" s="19" customFormat="1" ht="15">
      <c r="A19" s="683"/>
      <c r="B19" s="683"/>
      <c r="C19" s="701">
        <v>45049</v>
      </c>
      <c r="D19" s="702" t="s">
        <v>887</v>
      </c>
      <c r="E19" s="703" t="s">
        <v>358</v>
      </c>
      <c r="F19" s="703" t="s">
        <v>903</v>
      </c>
      <c r="G19" s="704"/>
      <c r="H19" s="399" t="s">
        <v>279</v>
      </c>
      <c r="I19" s="683"/>
      <c r="J19" s="683"/>
    </row>
    <row r="20" spans="1:10" s="19" customFormat="1" ht="15">
      <c r="A20" s="683"/>
      <c r="B20" s="683"/>
      <c r="C20" s="701">
        <v>44991</v>
      </c>
      <c r="D20" s="702" t="s">
        <v>887</v>
      </c>
      <c r="E20" s="703" t="s">
        <v>278</v>
      </c>
      <c r="F20" s="703" t="s">
        <v>888</v>
      </c>
      <c r="G20" s="704"/>
      <c r="H20" s="399" t="s">
        <v>279</v>
      </c>
      <c r="I20" s="683"/>
      <c r="J20" s="683"/>
    </row>
    <row r="21" spans="1:10" s="19" customFormat="1" ht="15">
      <c r="A21" s="683"/>
      <c r="B21" s="683"/>
      <c r="C21" s="701">
        <v>44958</v>
      </c>
      <c r="D21" s="702" t="s">
        <v>889</v>
      </c>
      <c r="E21" s="703" t="s">
        <v>656</v>
      </c>
      <c r="F21" s="703" t="s">
        <v>888</v>
      </c>
      <c r="G21" s="704"/>
      <c r="H21" s="396" t="s">
        <v>279</v>
      </c>
      <c r="I21" s="683"/>
      <c r="J21" s="683"/>
    </row>
    <row r="22" spans="1:10" s="19" customFormat="1" ht="15">
      <c r="A22" s="683"/>
      <c r="B22" s="683"/>
      <c r="C22" s="701">
        <v>44867</v>
      </c>
      <c r="D22" s="702" t="s">
        <v>887</v>
      </c>
      <c r="E22" s="703" t="s">
        <v>358</v>
      </c>
      <c r="F22" s="703" t="s">
        <v>886</v>
      </c>
      <c r="G22" s="704"/>
      <c r="H22" s="396" t="s">
        <v>279</v>
      </c>
      <c r="I22" s="683"/>
      <c r="J22" s="683"/>
    </row>
    <row r="23" spans="1:10" s="19" customFormat="1" ht="15">
      <c r="A23" s="683"/>
      <c r="B23" s="683"/>
      <c r="C23" s="701">
        <v>44792</v>
      </c>
      <c r="D23" s="702" t="s">
        <v>884</v>
      </c>
      <c r="E23" s="703" t="s">
        <v>358</v>
      </c>
      <c r="F23" s="703" t="s">
        <v>883</v>
      </c>
      <c r="G23" s="704"/>
      <c r="H23" s="399" t="s">
        <v>279</v>
      </c>
      <c r="I23" s="683"/>
      <c r="J23" s="683"/>
    </row>
    <row r="24" spans="1:10" s="19" customFormat="1" ht="15">
      <c r="A24" s="683"/>
      <c r="B24" s="683"/>
      <c r="C24" s="701">
        <v>44776</v>
      </c>
      <c r="D24" s="702" t="s">
        <v>878</v>
      </c>
      <c r="E24" s="703" t="s">
        <v>358</v>
      </c>
      <c r="F24" s="703" t="s">
        <v>883</v>
      </c>
      <c r="G24" s="704"/>
      <c r="H24" s="399" t="s">
        <v>279</v>
      </c>
      <c r="I24" s="683"/>
      <c r="J24" s="683"/>
    </row>
    <row r="25" spans="1:10" s="19" customFormat="1" ht="15">
      <c r="A25" s="683"/>
      <c r="B25" s="683"/>
      <c r="C25" s="701">
        <v>44685</v>
      </c>
      <c r="D25" s="702" t="s">
        <v>878</v>
      </c>
      <c r="E25" s="703" t="s">
        <v>358</v>
      </c>
      <c r="F25" s="703" t="s">
        <v>877</v>
      </c>
      <c r="G25" s="704"/>
      <c r="H25" s="399" t="s">
        <v>279</v>
      </c>
      <c r="I25" s="683"/>
      <c r="J25" s="683"/>
    </row>
    <row r="26" spans="1:10" s="19" customFormat="1" ht="15">
      <c r="A26" s="683"/>
      <c r="B26" s="683"/>
      <c r="C26" s="701">
        <v>44610</v>
      </c>
      <c r="D26" s="702" t="s">
        <v>331</v>
      </c>
      <c r="E26" s="703" t="s">
        <v>278</v>
      </c>
      <c r="F26" s="703" t="s">
        <v>834</v>
      </c>
      <c r="G26" s="704"/>
      <c r="H26" s="399" t="s">
        <v>279</v>
      </c>
      <c r="I26" s="683"/>
      <c r="J26" s="683"/>
    </row>
    <row r="27" spans="1:10" s="19" customFormat="1" ht="15">
      <c r="A27" s="683"/>
      <c r="B27" s="683"/>
      <c r="C27" s="701">
        <v>44594</v>
      </c>
      <c r="D27" s="702" t="s">
        <v>331</v>
      </c>
      <c r="E27" s="703" t="s">
        <v>656</v>
      </c>
      <c r="F27" s="703" t="s">
        <v>834</v>
      </c>
      <c r="G27" s="704"/>
      <c r="H27" s="399" t="s">
        <v>279</v>
      </c>
      <c r="I27" s="683"/>
      <c r="J27" s="683"/>
    </row>
    <row r="28" spans="1:10" s="19" customFormat="1" ht="15">
      <c r="A28" s="683"/>
      <c r="B28" s="683"/>
      <c r="C28" s="701">
        <v>44503</v>
      </c>
      <c r="D28" s="702" t="s">
        <v>331</v>
      </c>
      <c r="E28" s="703" t="s">
        <v>358</v>
      </c>
      <c r="F28" s="703" t="s">
        <v>828</v>
      </c>
      <c r="G28" s="704"/>
      <c r="H28" s="399" t="s">
        <v>279</v>
      </c>
      <c r="I28" s="683"/>
      <c r="J28" s="683"/>
    </row>
    <row r="29" spans="1:10" s="19" customFormat="1" ht="15">
      <c r="A29" s="683"/>
      <c r="B29" s="683"/>
      <c r="C29" s="701">
        <v>44412</v>
      </c>
      <c r="D29" s="702" t="s">
        <v>331</v>
      </c>
      <c r="E29" s="703" t="s">
        <v>358</v>
      </c>
      <c r="F29" s="703" t="s">
        <v>825</v>
      </c>
      <c r="G29" s="704"/>
      <c r="H29" s="399" t="s">
        <v>279</v>
      </c>
      <c r="I29" s="683"/>
      <c r="J29" s="683"/>
    </row>
    <row r="30" spans="1:10" s="19" customFormat="1" ht="15">
      <c r="A30" s="683"/>
      <c r="B30" s="683"/>
      <c r="C30" s="701">
        <v>44321</v>
      </c>
      <c r="D30" s="702" t="s">
        <v>331</v>
      </c>
      <c r="E30" s="703" t="s">
        <v>358</v>
      </c>
      <c r="F30" s="703" t="s">
        <v>659</v>
      </c>
      <c r="G30" s="704"/>
      <c r="H30" s="396" t="s">
        <v>279</v>
      </c>
      <c r="I30" s="683"/>
      <c r="J30" s="683"/>
    </row>
    <row r="31" spans="1:10" s="19" customFormat="1" ht="15">
      <c r="A31" s="683"/>
      <c r="B31" s="683"/>
      <c r="C31" s="701">
        <v>44249</v>
      </c>
      <c r="D31" s="702" t="s">
        <v>331</v>
      </c>
      <c r="E31" s="703" t="s">
        <v>278</v>
      </c>
      <c r="F31" s="703" t="s">
        <v>655</v>
      </c>
      <c r="G31" s="704"/>
      <c r="H31" s="396" t="s">
        <v>279</v>
      </c>
      <c r="I31" s="683"/>
      <c r="J31" s="683"/>
    </row>
    <row r="32" spans="1:10" s="19" customFormat="1" ht="15">
      <c r="A32" s="683"/>
      <c r="B32" s="683"/>
      <c r="C32" s="701">
        <v>44230</v>
      </c>
      <c r="D32" s="702" t="s">
        <v>331</v>
      </c>
      <c r="E32" s="703" t="s">
        <v>656</v>
      </c>
      <c r="F32" s="703" t="s">
        <v>655</v>
      </c>
      <c r="G32" s="704"/>
      <c r="H32" s="396" t="s">
        <v>279</v>
      </c>
      <c r="I32" s="683"/>
      <c r="J32" s="683"/>
    </row>
    <row r="33" spans="1:10" s="19" customFormat="1" ht="15">
      <c r="A33" s="683"/>
      <c r="B33" s="683"/>
      <c r="C33" s="701">
        <v>44139</v>
      </c>
      <c r="D33" s="702" t="s">
        <v>331</v>
      </c>
      <c r="E33" s="703" t="s">
        <v>358</v>
      </c>
      <c r="F33" s="703" t="s">
        <v>649</v>
      </c>
      <c r="G33" s="704"/>
      <c r="H33" s="396" t="s">
        <v>279</v>
      </c>
      <c r="I33" s="683"/>
      <c r="J33" s="683"/>
    </row>
    <row r="34" spans="1:10" s="19" customFormat="1" ht="15">
      <c r="A34" s="683"/>
      <c r="B34" s="683"/>
      <c r="C34" s="701">
        <v>44047</v>
      </c>
      <c r="D34" s="702" t="s">
        <v>331</v>
      </c>
      <c r="E34" s="703" t="s">
        <v>358</v>
      </c>
      <c r="F34" s="703" t="s">
        <v>648</v>
      </c>
      <c r="G34" s="704"/>
      <c r="H34" s="399" t="s">
        <v>279</v>
      </c>
      <c r="I34" s="683"/>
      <c r="J34" s="683"/>
    </row>
    <row r="35" spans="1:10" s="19" customFormat="1" ht="15">
      <c r="A35" s="683"/>
      <c r="B35" s="683"/>
      <c r="C35" s="701">
        <v>43956</v>
      </c>
      <c r="D35" s="702" t="s">
        <v>365</v>
      </c>
      <c r="E35" s="703" t="s">
        <v>358</v>
      </c>
      <c r="F35" s="703" t="s">
        <v>364</v>
      </c>
      <c r="G35" s="704"/>
      <c r="H35" s="399" t="s">
        <v>279</v>
      </c>
      <c r="I35" s="683"/>
      <c r="J35" s="683"/>
    </row>
    <row r="36" spans="1:10" s="19" customFormat="1" ht="15">
      <c r="A36" s="683"/>
      <c r="B36" s="683"/>
      <c r="C36" s="701">
        <v>43885</v>
      </c>
      <c r="D36" s="702" t="s">
        <v>362</v>
      </c>
      <c r="E36" s="703" t="s">
        <v>278</v>
      </c>
      <c r="F36" s="703" t="s">
        <v>361</v>
      </c>
      <c r="G36" s="704"/>
      <c r="H36" s="399" t="s">
        <v>279</v>
      </c>
      <c r="I36" s="683"/>
      <c r="J36" s="683"/>
    </row>
    <row r="37" spans="1:10" s="19" customFormat="1" ht="15">
      <c r="A37" s="683"/>
      <c r="B37" s="683"/>
      <c r="C37" s="701">
        <v>43794</v>
      </c>
      <c r="D37" s="702" t="s">
        <v>331</v>
      </c>
      <c r="E37" s="703" t="s">
        <v>332</v>
      </c>
      <c r="F37" s="703" t="s">
        <v>302</v>
      </c>
      <c r="G37" s="702" t="s">
        <v>337</v>
      </c>
      <c r="H37" s="705"/>
      <c r="I37" s="683"/>
      <c r="J37" s="683"/>
    </row>
    <row r="38" spans="1:10" s="19" customFormat="1" ht="15">
      <c r="A38" s="683"/>
      <c r="B38" s="683"/>
      <c r="C38" s="701">
        <v>43791</v>
      </c>
      <c r="D38" s="702" t="s">
        <v>331</v>
      </c>
      <c r="E38" s="703" t="s">
        <v>332</v>
      </c>
      <c r="F38" s="703" t="s">
        <v>302</v>
      </c>
      <c r="G38" s="702" t="s">
        <v>333</v>
      </c>
      <c r="H38" s="706"/>
      <c r="I38" s="683"/>
      <c r="J38" s="683"/>
    </row>
    <row r="39" spans="1:10" s="19" customFormat="1" ht="15">
      <c r="A39" s="683"/>
      <c r="B39" s="683"/>
      <c r="C39" s="701">
        <v>43768</v>
      </c>
      <c r="D39" s="702" t="s">
        <v>309</v>
      </c>
      <c r="E39" s="703" t="s">
        <v>358</v>
      </c>
      <c r="F39" s="703" t="s">
        <v>302</v>
      </c>
      <c r="G39" s="704"/>
      <c r="H39" s="706" t="s">
        <v>279</v>
      </c>
      <c r="I39" s="683"/>
      <c r="J39" s="683"/>
    </row>
    <row r="40" spans="1:10" s="19" customFormat="1" ht="15">
      <c r="A40" s="683"/>
      <c r="B40" s="683"/>
      <c r="C40" s="701">
        <v>43677</v>
      </c>
      <c r="D40" s="702" t="s">
        <v>299</v>
      </c>
      <c r="E40" s="703" t="s">
        <v>358</v>
      </c>
      <c r="F40" s="703" t="s">
        <v>300</v>
      </c>
      <c r="G40" s="704"/>
      <c r="H40" s="706" t="s">
        <v>279</v>
      </c>
      <c r="I40" s="683"/>
      <c r="J40" s="683"/>
    </row>
    <row r="41" spans="1:10" s="19" customFormat="1" ht="15">
      <c r="A41" s="683"/>
      <c r="B41" s="683"/>
      <c r="C41" s="707">
        <v>43595</v>
      </c>
      <c r="D41" s="708" t="s">
        <v>297</v>
      </c>
      <c r="E41" s="709" t="s">
        <v>358</v>
      </c>
      <c r="F41" s="709" t="s">
        <v>298</v>
      </c>
      <c r="G41" s="710"/>
      <c r="H41" s="711" t="s">
        <v>279</v>
      </c>
      <c r="I41" s="683"/>
      <c r="J41" s="683"/>
    </row>
    <row r="42" spans="1:10" ht="15">
      <c r="A42" s="683"/>
      <c r="B42" s="683"/>
      <c r="C42" s="707">
        <v>43511</v>
      </c>
      <c r="D42" s="708" t="s">
        <v>277</v>
      </c>
      <c r="E42" s="709" t="s">
        <v>278</v>
      </c>
      <c r="F42" s="709" t="s">
        <v>359</v>
      </c>
      <c r="G42" s="710"/>
      <c r="H42" s="712" t="s">
        <v>279</v>
      </c>
      <c r="I42" s="683"/>
      <c r="J42" s="683"/>
    </row>
    <row r="43" spans="1:10" ht="15">
      <c r="A43" s="683"/>
      <c r="B43" s="683"/>
      <c r="C43" s="707">
        <v>43404</v>
      </c>
      <c r="D43" s="708" t="s">
        <v>280</v>
      </c>
      <c r="E43" s="709" t="s">
        <v>358</v>
      </c>
      <c r="F43" s="709" t="s">
        <v>281</v>
      </c>
      <c r="G43" s="710"/>
      <c r="H43" s="712" t="s">
        <v>279</v>
      </c>
      <c r="I43" s="683"/>
      <c r="J43" s="683"/>
    </row>
    <row r="44" spans="1:10" ht="15">
      <c r="A44" s="683"/>
      <c r="B44" s="683"/>
      <c r="C44" s="707">
        <v>43314</v>
      </c>
      <c r="D44" s="708" t="s">
        <v>282</v>
      </c>
      <c r="E44" s="709" t="s">
        <v>358</v>
      </c>
      <c r="F44" s="709" t="s">
        <v>283</v>
      </c>
      <c r="G44" s="710"/>
      <c r="H44" s="712" t="s">
        <v>279</v>
      </c>
      <c r="I44" s="683"/>
      <c r="J44" s="683"/>
    </row>
    <row r="45" spans="1:10" ht="15">
      <c r="A45" s="683"/>
      <c r="B45" s="683"/>
      <c r="C45" s="713">
        <v>43298</v>
      </c>
      <c r="D45" s="714" t="s">
        <v>284</v>
      </c>
      <c r="E45" s="715" t="s">
        <v>358</v>
      </c>
      <c r="F45" s="715" t="s">
        <v>285</v>
      </c>
      <c r="G45" s="716"/>
      <c r="H45" s="717" t="s">
        <v>279</v>
      </c>
      <c r="I45" s="683"/>
      <c r="J45" s="683"/>
    </row>
    <row r="46" spans="1:10" ht="15">
      <c r="A46" s="683"/>
      <c r="B46" s="683"/>
      <c r="C46" s="701">
        <v>43158</v>
      </c>
      <c r="D46" s="702" t="s">
        <v>286</v>
      </c>
      <c r="E46" s="703" t="s">
        <v>278</v>
      </c>
      <c r="F46" s="703" t="s">
        <v>287</v>
      </c>
      <c r="G46" s="704"/>
      <c r="H46" s="718" t="s">
        <v>279</v>
      </c>
      <c r="I46" s="683"/>
      <c r="J46" s="683"/>
    </row>
    <row r="47" spans="1:10" ht="15">
      <c r="A47" s="683"/>
      <c r="B47" s="683"/>
      <c r="C47" s="701">
        <v>43040</v>
      </c>
      <c r="D47" s="702" t="s">
        <v>288</v>
      </c>
      <c r="E47" s="703" t="s">
        <v>358</v>
      </c>
      <c r="F47" s="703" t="s">
        <v>289</v>
      </c>
      <c r="G47" s="704"/>
      <c r="H47" s="718" t="s">
        <v>279</v>
      </c>
      <c r="I47" s="683"/>
      <c r="J47" s="683"/>
    </row>
    <row r="48" spans="1:10" ht="15">
      <c r="A48" s="683"/>
      <c r="B48" s="683"/>
      <c r="C48" s="701">
        <v>42948</v>
      </c>
      <c r="D48" s="702" t="s">
        <v>290</v>
      </c>
      <c r="E48" s="703" t="s">
        <v>358</v>
      </c>
      <c r="F48" s="703" t="s">
        <v>291</v>
      </c>
      <c r="G48" s="704"/>
      <c r="H48" s="718" t="s">
        <v>279</v>
      </c>
      <c r="I48" s="683"/>
      <c r="J48" s="683"/>
    </row>
    <row r="49" spans="1:10" ht="15">
      <c r="A49" s="683"/>
      <c r="B49" s="683"/>
      <c r="C49" s="701">
        <v>42859</v>
      </c>
      <c r="D49" s="702" t="s">
        <v>292</v>
      </c>
      <c r="E49" s="703" t="s">
        <v>293</v>
      </c>
      <c r="F49" s="703" t="s">
        <v>360</v>
      </c>
      <c r="G49" s="704"/>
      <c r="H49" s="718"/>
      <c r="I49" s="683"/>
      <c r="J49" s="683"/>
    </row>
    <row r="50" spans="1:10" ht="15">
      <c r="A50" s="683"/>
      <c r="B50" s="683"/>
      <c r="C50" s="683"/>
      <c r="D50" s="683"/>
      <c r="E50" s="683"/>
      <c r="F50" s="683"/>
      <c r="G50" s="683"/>
      <c r="H50" s="683"/>
      <c r="I50" s="683"/>
      <c r="J50" s="683"/>
    </row>
    <row r="51" spans="1:10" ht="15">
      <c r="A51" s="683"/>
      <c r="B51" s="683"/>
      <c r="C51" s="683"/>
      <c r="D51" s="683"/>
      <c r="E51" s="683"/>
      <c r="F51" s="683"/>
      <c r="G51" s="683"/>
      <c r="H51" s="683"/>
      <c r="I51" s="683"/>
      <c r="J51" s="683"/>
    </row>
    <row r="52" spans="1:10" ht="15">
      <c r="A52" s="683"/>
      <c r="B52" s="683"/>
      <c r="C52" s="683"/>
      <c r="D52" s="683"/>
      <c r="E52" s="683"/>
      <c r="F52" s="683"/>
      <c r="G52" s="683"/>
      <c r="H52" s="683"/>
      <c r="I52" s="683"/>
      <c r="J52" s="683"/>
    </row>
    <row r="53" spans="1:10" ht="15">
      <c r="A53" s="683"/>
      <c r="B53" s="683"/>
      <c r="C53" s="683"/>
      <c r="D53" s="683"/>
      <c r="E53" s="683"/>
      <c r="F53" s="683"/>
      <c r="G53" s="683"/>
      <c r="H53" s="683"/>
      <c r="I53" s="683"/>
      <c r="J53" s="683"/>
    </row>
    <row r="54" spans="1:10" ht="15">
      <c r="A54" s="683"/>
      <c r="B54" s="683"/>
      <c r="C54" s="683"/>
      <c r="D54" s="683"/>
      <c r="E54" s="683"/>
      <c r="F54" s="683"/>
      <c r="G54" s="683"/>
      <c r="H54" s="683"/>
      <c r="I54" s="683"/>
      <c r="J54" s="683"/>
    </row>
    <row r="55" spans="1:10" ht="15">
      <c r="A55" s="683"/>
      <c r="B55" s="683"/>
      <c r="C55" s="683"/>
      <c r="D55" s="683"/>
      <c r="E55" s="683"/>
      <c r="F55" s="683"/>
      <c r="G55" s="683"/>
      <c r="H55" s="683"/>
      <c r="I55" s="683"/>
      <c r="J55" s="683"/>
    </row>
    <row r="56" spans="1:10" ht="15">
      <c r="A56" s="683"/>
      <c r="B56" s="683"/>
      <c r="C56" s="683"/>
      <c r="D56" s="683"/>
      <c r="E56" s="683"/>
      <c r="F56" s="683"/>
      <c r="G56" s="683"/>
      <c r="H56" s="683"/>
      <c r="I56" s="683"/>
      <c r="J56" s="683"/>
    </row>
    <row r="57" spans="1:10" ht="15">
      <c r="A57" s="683"/>
      <c r="B57" s="683"/>
      <c r="C57" s="683"/>
      <c r="D57" s="683"/>
      <c r="E57" s="683"/>
      <c r="F57" s="683"/>
      <c r="G57" s="683"/>
      <c r="H57" s="683"/>
      <c r="I57" s="683"/>
      <c r="J57" s="683"/>
    </row>
    <row r="58" spans="1:10" ht="15">
      <c r="A58" s="683"/>
      <c r="B58" s="683"/>
      <c r="C58" s="683"/>
      <c r="D58" s="683"/>
      <c r="E58" s="683"/>
      <c r="F58" s="683"/>
      <c r="G58" s="683"/>
      <c r="H58" s="683"/>
      <c r="I58" s="683"/>
      <c r="J58" s="683"/>
    </row>
    <row r="59" spans="1:10" ht="15">
      <c r="A59" s="683"/>
      <c r="B59" s="683"/>
      <c r="C59" s="683"/>
      <c r="D59" s="683"/>
      <c r="E59" s="683"/>
      <c r="F59" s="683"/>
      <c r="G59" s="683"/>
      <c r="H59" s="683"/>
      <c r="I59" s="683"/>
      <c r="J59" s="683"/>
    </row>
    <row r="60" spans="1:10" ht="15">
      <c r="A60" s="683"/>
      <c r="B60" s="683"/>
      <c r="C60" s="683"/>
      <c r="D60" s="683"/>
      <c r="E60" s="683"/>
      <c r="F60" s="683"/>
      <c r="G60" s="683"/>
      <c r="H60" s="683"/>
      <c r="I60" s="683"/>
      <c r="J60" s="683"/>
    </row>
    <row r="61" spans="1:10" ht="15">
      <c r="A61" s="683"/>
      <c r="B61" s="683"/>
      <c r="C61" s="683"/>
      <c r="D61" s="683"/>
      <c r="E61" s="683"/>
      <c r="F61" s="683"/>
      <c r="G61" s="683"/>
      <c r="H61" s="683"/>
      <c r="I61" s="683"/>
      <c r="J61" s="683"/>
    </row>
    <row r="62" spans="1:10" ht="15">
      <c r="A62" s="683"/>
      <c r="B62" s="683"/>
      <c r="C62" s="683"/>
      <c r="D62" s="683"/>
      <c r="E62" s="683"/>
      <c r="F62" s="683"/>
      <c r="G62" s="683"/>
      <c r="H62" s="683"/>
      <c r="I62" s="683"/>
      <c r="J62" s="683"/>
    </row>
    <row r="63" spans="1:10" ht="15">
      <c r="A63" s="683"/>
      <c r="B63" s="683"/>
      <c r="C63" s="683"/>
      <c r="D63" s="683"/>
      <c r="E63" s="683"/>
      <c r="F63" s="683"/>
      <c r="G63" s="683"/>
      <c r="H63" s="683"/>
      <c r="I63" s="683"/>
      <c r="J63" s="683"/>
    </row>
    <row r="64" spans="1:10" ht="15">
      <c r="A64" s="683"/>
      <c r="B64" s="683"/>
      <c r="C64" s="683"/>
      <c r="D64" s="683"/>
      <c r="E64" s="683"/>
      <c r="F64" s="683"/>
      <c r="G64" s="683"/>
      <c r="H64" s="683"/>
      <c r="I64" s="683"/>
      <c r="J64" s="683"/>
    </row>
    <row r="65" spans="1:10" ht="15">
      <c r="A65" s="683"/>
      <c r="B65" s="683"/>
      <c r="C65" s="683"/>
      <c r="D65" s="683"/>
      <c r="E65" s="683"/>
      <c r="F65" s="683"/>
      <c r="G65" s="683"/>
      <c r="H65" s="683"/>
      <c r="I65" s="683"/>
      <c r="J65" s="683"/>
    </row>
    <row r="66" spans="1:10" ht="15">
      <c r="A66" s="683"/>
      <c r="B66" s="683"/>
      <c r="C66" s="683"/>
      <c r="D66" s="683"/>
      <c r="E66" s="683"/>
      <c r="F66" s="683"/>
      <c r="G66" s="683"/>
      <c r="H66" s="683"/>
      <c r="I66" s="683"/>
      <c r="J66" s="683"/>
    </row>
    <row r="67" spans="1:10" ht="15">
      <c r="A67" s="683"/>
      <c r="B67" s="683"/>
      <c r="C67" s="683"/>
      <c r="D67" s="683"/>
      <c r="E67" s="683"/>
      <c r="F67" s="683"/>
      <c r="G67" s="683"/>
      <c r="H67" s="683"/>
      <c r="I67" s="683"/>
      <c r="J67" s="683"/>
    </row>
    <row r="68" spans="1:10" ht="15">
      <c r="A68" s="683"/>
      <c r="B68" s="683"/>
      <c r="C68" s="683"/>
      <c r="D68" s="683"/>
      <c r="E68" s="683"/>
      <c r="F68" s="683"/>
      <c r="G68" s="683"/>
      <c r="H68" s="683"/>
      <c r="I68" s="683"/>
      <c r="J68" s="683"/>
    </row>
    <row r="69" spans="1:10" ht="15">
      <c r="A69" s="683"/>
      <c r="B69" s="683"/>
      <c r="C69" s="683"/>
      <c r="D69" s="683"/>
      <c r="E69" s="683"/>
      <c r="F69" s="683"/>
      <c r="G69" s="683"/>
      <c r="H69" s="683"/>
      <c r="I69" s="683"/>
      <c r="J69" s="683"/>
    </row>
    <row r="70" spans="1:10" ht="15">
      <c r="A70" s="683"/>
      <c r="B70" s="683"/>
      <c r="C70" s="683"/>
      <c r="D70" s="683"/>
      <c r="E70" s="683"/>
      <c r="F70" s="683"/>
      <c r="G70" s="683"/>
      <c r="H70" s="683"/>
      <c r="I70" s="683"/>
      <c r="J70" s="683"/>
    </row>
    <row r="71" spans="1:10" ht="15">
      <c r="A71" s="683"/>
      <c r="B71" s="683"/>
      <c r="C71" s="683"/>
      <c r="D71" s="683"/>
      <c r="E71" s="683"/>
      <c r="F71" s="683"/>
      <c r="G71" s="683"/>
      <c r="H71" s="683"/>
      <c r="I71" s="683"/>
      <c r="J71" s="683"/>
    </row>
    <row r="72" spans="1:10" ht="15">
      <c r="A72" s="683"/>
      <c r="B72" s="683"/>
      <c r="C72" s="683"/>
      <c r="D72" s="683"/>
      <c r="E72" s="683"/>
      <c r="F72" s="683"/>
      <c r="G72" s="683"/>
      <c r="H72" s="683"/>
      <c r="I72" s="683"/>
      <c r="J72" s="683"/>
    </row>
  </sheetData>
  <hyperlinks>
    <hyperlink ref="H42" r:id="rId1" tooltip="Website Link" display="Earnings Press Release"/>
    <hyperlink ref="H43" r:id="rId2" tooltip="Website Link" display="Earnings Press Release"/>
    <hyperlink ref="H44" r:id="rId3" tooltip="Website Link" display="Earnings Press Release"/>
    <hyperlink ref="H45" r:id="rId4" tooltip="Website Link" display="Earnings Press Release"/>
    <hyperlink ref="H46" r:id="rId5" tooltip="Website Link" display="Earnings Press Release"/>
    <hyperlink ref="H47" r:id="rId6" tooltip="Website Link" display="Earnings Press Release"/>
    <hyperlink ref="H48" r:id="rId7" tooltip="Website Link" display="Earnings Press Release"/>
    <hyperlink ref="H41" r:id="rId8" tooltip="Website Link" display="Earnings Press Release"/>
    <hyperlink ref="H40" r:id="rId9" tooltip="Website Link" display="Earnings Press Release"/>
    <hyperlink ref="H39" r:id="rId10" tooltip="Website Link" display="Earnings Press Release"/>
    <hyperlink ref="H36" r:id="rId11" tooltip="Website Link" display="Earnings Press Release"/>
    <hyperlink ref="H35" r:id="rId12" tooltip="Website Link" display="Earnings Press Release"/>
    <hyperlink ref="H34" r:id="rId13" tooltip="Website Link" display="Earnings Press Release"/>
    <hyperlink ref="H33" r:id="rId14" tooltip="Website Link" display="Earnings Press Release"/>
    <hyperlink ref="H31" r:id="rId15" tooltip="Website Link" display="Earnings Press Release"/>
    <hyperlink ref="H32" r:id="rId16" tooltip="Website Link" display="Earnings Press Release"/>
    <hyperlink ref="H30" r:id="rId17" tooltip="Website Link" display="Earnings Press Release"/>
    <hyperlink ref="H29" r:id="rId18" tooltip="Website Link" display="Earnings Press Release"/>
    <hyperlink ref="H28" r:id="rId19" tooltip="Website Link" display="Earnings Press Release"/>
    <hyperlink ref="H27" r:id="rId20" tooltip="Website Link" display="Earnings Press Release"/>
    <hyperlink ref="H26" r:id="rId21" tooltip="Website Link" display="Earnings Press Release"/>
    <hyperlink ref="H25" r:id="rId22" tooltip="Website Link" display="Earnings Press Release"/>
    <hyperlink ref="H24" r:id="rId23" tooltip="Website Link" display="Earnings Press Release"/>
    <hyperlink ref="H23" r:id="rId24" tooltip="Website Link" display="Earnings Press Release"/>
    <hyperlink ref="H22" r:id="rId25" tooltip="Website Link" display="Earnings Press Release"/>
    <hyperlink ref="H20:H21" r:id="rId26" tooltip="Website Link" display="Earnings Press Release"/>
    <hyperlink ref="H19" r:id="rId27" tooltip="Website Link" display="Earnings Press Release"/>
    <hyperlink ref="H18" r:id="rId28" display="Earnings Press Release"/>
    <hyperlink ref="H17" r:id="rId29" tooltip="Website Link" display="Earnings Press Release"/>
    <hyperlink ref="H16" r:id="rId30" tooltip="Website Link" display="Earnings Press Release"/>
    <hyperlink ref="H15" r:id="rId31" tooltip="Website Link" display="Earnings Press Release"/>
    <hyperlink ref="H14" r:id="rId32" tooltip="Website Link" display="Earnings Press Release"/>
    <hyperlink ref="H13" r:id="rId33" tooltip="Website Link" display="Earnings Press Release"/>
    <hyperlink ref="H12" r:id="rId34" tooltip="Website Link" display="Earnings Press Release"/>
    <hyperlink ref="H11" r:id="rId35" tooltip="Website Link" display="Earnings Press Release"/>
  </hyperlinks>
  <pageMargins left="0.7" right="0.7" top="0.75" bottom="0.75" header="0.3" footer="0.3"/>
  <pageSetup orientation="portrait" paperSize="1"/>
  <drawing r:id="rId36"/>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item1.xml>��< ? x m l   v e r s i o n = " 1 . 0 "   e n c o d i n g = " u t f - 1 6 " ? > < C u s t o m X M L O b j e c t   x m l n s : x s i = " h t t p : / / w w w . w 3 . o r g / 2 0 0 1 / X M L S c h e m a - i n s t a n c e "   x m l n s : x s d = " h t t p : / / w w w . w 3 . o r g / 2 0 0 1 / X M L S c h e m a " >  
     < N a m e > S t a t i c M e t a d a t a < / N a m e >  
     < V a l u e > { " o r i g i n " : " T e g u s " } < / V a l u e >  
 < / C u s t o m X M L O b j e c t > 
</file>

<file path=customXml/item2.xml>��< ? x m l   v e r s i o n = " 1 . 0 "   e n c o d i n g = " u t f - 1 6 " ? > < C u s t o m X M L O b j e c t   x m l n s : x s d = " h t t p : / / w w w . w 3 . o r g / 2 0 0 1 / X M L S c h e m a "   x m l n s : x s i = " h t t p : / / w w w . w 3 . o r g / 2 0 0 1 / X M L S c h e m a - i n s t a n c e " >  
     < N a m e > C o m m u n i c a t i o n I d < / N a m e >  
     < V a l u e > 2 9 5 c d 2 4 5 - 9 3 3 b - 4 7 a e - a 7 e d - 1 b e 2 3 e 8 c 4 3 9 0 < / V a l u e >  
 < / C u s t o m X M L O b j e c t > 
</file>

<file path=customXml/itemProps1.xml><?xml version="1.0" encoding="utf-8"?>
<ds:datastoreItem xmlns:ds="http://schemas.openxmlformats.org/officeDocument/2006/customXml" ds:itemID="{48BA4ACA-90C5-4B6E-ADAE-2CED8DC48EC5}">
  <ds:schemaRefs>
    <ds:schemaRef ds:uri="http://www.w3.org/2001/XMLSchema"/>
  </ds:schemaRefs>
</ds:datastoreItem>
</file>

<file path=customXml/itemProps2.xml><?xml version="1.0" encoding="utf-8"?>
<ds:datastoreItem xmlns:ds="http://schemas.openxmlformats.org/officeDocument/2006/customXml" ds:itemID="{C2393250-9F9C-4C58-BDB4-321F992A57DE}">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4</vt:i4>
      </vt:variant>
    </vt:vector>
  </HeadingPairs>
  <TitlesOfParts>
    <vt:vector size="4" baseType="lpstr">
      <vt:lpstr>Front Page</vt:lpstr>
      <vt:lpstr>Model</vt:lpstr>
      <vt:lpstr>Summary Page</vt:lpstr>
      <vt:lpstr>Update Log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Canalyst</dc:creator>
  <cp:keywords/>
  <dc:description/>
  <cp:lastModifiedBy>Tegus (RF)</cp:lastModifiedBy>
  <cp:lastPrinted>2016-04-29T05:43:54Z</cp:lastPrinted>
  <dcterms:created xsi:type="dcterms:W3CDTF">2016-04-22T21:21:10Z</dcterms:created>
  <dcterms:modified xsi:type="dcterms:W3CDTF">2024-10-31T01:46:47Z</dcterms:modified>
  <cp:category/>
</cp:coreProperties>
</file>